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DieseArbeitsmappe"/>
  <mc:AlternateContent xmlns:mc="http://schemas.openxmlformats.org/markup-compatibility/2006">
    <mc:Choice Requires="x15">
      <x15ac:absPath xmlns:x15ac="http://schemas.microsoft.com/office/spreadsheetml/2010/11/ac" url="I:\AMM.A1177\70_Projekte_SAFB\TPS Basispreis Verschleiss\141_OneStopShop Fahrzeugpreis\2021-xx_OSS_L+P_Fahrzeugpreisbestimmung_in_Bearbeitung\"/>
    </mc:Choice>
  </mc:AlternateContent>
  <xr:revisionPtr revIDLastSave="0" documentId="13_ncr:1_{0D68A2AC-3D6C-4B4F-A77F-200133C0A6D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alculation_Example" sheetId="24" r:id="rId1"/>
    <sheet name="Check_Example" sheetId="25" r:id="rId2"/>
  </sheets>
  <definedNames>
    <definedName name="_xlnm._FilterDatabase" localSheetId="1" hidden="1">Check_Example!$A$7:$O$7</definedName>
    <definedName name="_xlnm.Print_Area" localSheetId="0">Calculation_Example!$A$1:$O$130</definedName>
    <definedName name="_xlnm.Print_Titles" localSheetId="0">Calculation_Example!$A:$C,Calculation_Example!$1:$4</definedName>
    <definedName name="_xlnm.Print_Titles" localSheetId="1">Check_Example!$1:$7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" i="24" l="1"/>
  <c r="K26" i="24" l="1"/>
  <c r="R35" i="24" s="1"/>
  <c r="R40" i="24"/>
  <c r="Y40" i="24" s="1"/>
  <c r="R41" i="24"/>
  <c r="Y41" i="24" s="1"/>
  <c r="R42" i="24"/>
  <c r="Y42" i="24" s="1"/>
  <c r="R43" i="24"/>
  <c r="Y43" i="24" s="1"/>
  <c r="Y13" i="24"/>
  <c r="R36" i="24"/>
  <c r="Y36" i="24"/>
  <c r="R37" i="24"/>
  <c r="Y37" i="24" s="1"/>
  <c r="Y18" i="24"/>
  <c r="Y19" i="24"/>
  <c r="Y61" i="24"/>
  <c r="Y84" i="24" s="1"/>
  <c r="K15" i="24"/>
  <c r="Y15" i="24" s="1"/>
  <c r="R34" i="24"/>
  <c r="Y34" i="24" s="1"/>
  <c r="Y17" i="24" s="1"/>
  <c r="Y47" i="24" s="1"/>
  <c r="J8" i="24"/>
  <c r="J9" i="24"/>
  <c r="A56" i="24" s="1"/>
  <c r="A49" i="24"/>
  <c r="M49" i="24" s="1"/>
  <c r="K14" i="24"/>
  <c r="R14" i="24" s="1"/>
  <c r="Y12" i="24"/>
  <c r="R3" i="24"/>
  <c r="Y3" i="24"/>
  <c r="R13" i="24"/>
  <c r="R18" i="24"/>
  <c r="R19" i="24"/>
  <c r="R61" i="24" s="1"/>
  <c r="R84" i="24" s="1"/>
  <c r="R17" i="24"/>
  <c r="R47" i="24" s="1"/>
  <c r="R12" i="24"/>
  <c r="J47" i="24"/>
  <c r="J50" i="24" s="1"/>
  <c r="J48" i="24"/>
  <c r="J15" i="24"/>
  <c r="K47" i="24"/>
  <c r="K50" i="24" s="1"/>
  <c r="K66" i="24" s="1"/>
  <c r="K48" i="24"/>
  <c r="L47" i="24"/>
  <c r="L51" i="24" s="1"/>
  <c r="L48" i="24"/>
  <c r="L15" i="24"/>
  <c r="M47" i="24"/>
  <c r="M48" i="24"/>
  <c r="M15" i="24"/>
  <c r="N47" i="24"/>
  <c r="N50" i="24" s="1"/>
  <c r="N77" i="24" s="1"/>
  <c r="N48" i="24"/>
  <c r="N51" i="24" s="1"/>
  <c r="N78" i="24" s="1"/>
  <c r="N15" i="24"/>
  <c r="AB15" i="24" s="1"/>
  <c r="J90" i="24"/>
  <c r="K90" i="24"/>
  <c r="L90" i="24"/>
  <c r="M90" i="24"/>
  <c r="N90" i="24"/>
  <c r="L97" i="24"/>
  <c r="M97" i="24"/>
  <c r="N97" i="24"/>
  <c r="J89" i="24"/>
  <c r="K89" i="24"/>
  <c r="L89" i="24"/>
  <c r="M89" i="24"/>
  <c r="N89" i="24"/>
  <c r="J94" i="24"/>
  <c r="K94" i="24"/>
  <c r="L94" i="24"/>
  <c r="M94" i="24"/>
  <c r="N94" i="24"/>
  <c r="J88" i="24"/>
  <c r="K88" i="24"/>
  <c r="L88" i="24"/>
  <c r="M88" i="24"/>
  <c r="N88" i="24"/>
  <c r="J93" i="24"/>
  <c r="O93" i="24" s="1"/>
  <c r="AF93" i="24" s="1"/>
  <c r="K93" i="24"/>
  <c r="L93" i="24"/>
  <c r="M93" i="24"/>
  <c r="N93" i="24"/>
  <c r="J87" i="24"/>
  <c r="K87" i="24"/>
  <c r="L87" i="24"/>
  <c r="M87" i="24"/>
  <c r="N87" i="24"/>
  <c r="J92" i="24"/>
  <c r="K92" i="24"/>
  <c r="L92" i="24"/>
  <c r="M92" i="24"/>
  <c r="N92" i="24"/>
  <c r="K95" i="24"/>
  <c r="K61" i="24"/>
  <c r="K84" i="24" s="1"/>
  <c r="K10" i="24"/>
  <c r="K9" i="24"/>
  <c r="K8" i="24"/>
  <c r="B5" i="25"/>
  <c r="C5" i="25"/>
  <c r="L50" i="24"/>
  <c r="L66" i="24" s="1"/>
  <c r="M50" i="24"/>
  <c r="M77" i="24" s="1"/>
  <c r="J61" i="24"/>
  <c r="J84" i="24" s="1"/>
  <c r="L61" i="24"/>
  <c r="L84" i="24"/>
  <c r="M61" i="24"/>
  <c r="M84" i="24" s="1"/>
  <c r="N61" i="24"/>
  <c r="N84" i="24" s="1"/>
  <c r="J14" i="24"/>
  <c r="X14" i="24" s="1"/>
  <c r="L14" i="24"/>
  <c r="Z14" i="24" s="1"/>
  <c r="M14" i="24"/>
  <c r="T14" i="24" s="1"/>
  <c r="N14" i="24"/>
  <c r="U14" i="24" s="1"/>
  <c r="Q34" i="24"/>
  <c r="Q17" i="24" s="1"/>
  <c r="Q47" i="24" s="1"/>
  <c r="J26" i="24"/>
  <c r="Q33" i="24" s="1"/>
  <c r="S34" i="24"/>
  <c r="Z34" i="24"/>
  <c r="Z17" i="24" s="1"/>
  <c r="Z47" i="24" s="1"/>
  <c r="L26" i="24"/>
  <c r="S35" i="24" s="1"/>
  <c r="Z15" i="24"/>
  <c r="T34" i="24"/>
  <c r="T17" i="24" s="1"/>
  <c r="T47" i="24" s="1"/>
  <c r="AA34" i="24"/>
  <c r="AA17" i="24" s="1"/>
  <c r="AA47" i="24" s="1"/>
  <c r="M26" i="24"/>
  <c r="T33" i="24" s="1"/>
  <c r="AA15" i="24"/>
  <c r="U34" i="24"/>
  <c r="AB34" i="24"/>
  <c r="AB17" i="24" s="1"/>
  <c r="AB47" i="24" s="1"/>
  <c r="N26" i="24"/>
  <c r="U33" i="24" s="1"/>
  <c r="X18" i="24"/>
  <c r="X19" i="24"/>
  <c r="Z18" i="24"/>
  <c r="Z19" i="24"/>
  <c r="Z61" i="24"/>
  <c r="Z84" i="24" s="1"/>
  <c r="AA18" i="24"/>
  <c r="AA61" i="24" s="1"/>
  <c r="AA84" i="24" s="1"/>
  <c r="AA19" i="24"/>
  <c r="AB18" i="24"/>
  <c r="AB19" i="24"/>
  <c r="AB61" i="24" s="1"/>
  <c r="AB84" i="24" s="1"/>
  <c r="Q40" i="24"/>
  <c r="X40" i="24" s="1"/>
  <c r="Q41" i="24"/>
  <c r="X41" i="24" s="1"/>
  <c r="Q42" i="24"/>
  <c r="X42" i="24" s="1"/>
  <c r="Q43" i="24"/>
  <c r="X43" i="24"/>
  <c r="S40" i="24"/>
  <c r="Z40" i="24" s="1"/>
  <c r="S41" i="24"/>
  <c r="Z41" i="24"/>
  <c r="S42" i="24"/>
  <c r="Z42" i="24"/>
  <c r="S43" i="24"/>
  <c r="Z43" i="24"/>
  <c r="T40" i="24"/>
  <c r="AA40" i="24" s="1"/>
  <c r="T41" i="24"/>
  <c r="AA41" i="24"/>
  <c r="T42" i="24"/>
  <c r="AA42" i="24" s="1"/>
  <c r="T43" i="24"/>
  <c r="AA43" i="24"/>
  <c r="U40" i="24"/>
  <c r="AB40" i="24"/>
  <c r="U41" i="24"/>
  <c r="AB41" i="24"/>
  <c r="U42" i="24"/>
  <c r="AB42" i="24" s="1"/>
  <c r="U43" i="24"/>
  <c r="AB43" i="24"/>
  <c r="S17" i="24"/>
  <c r="S47" i="24" s="1"/>
  <c r="S15" i="24"/>
  <c r="T15" i="24"/>
  <c r="U17" i="24"/>
  <c r="U47" i="24" s="1"/>
  <c r="U15" i="24"/>
  <c r="Q18" i="24"/>
  <c r="Q19" i="24"/>
  <c r="S18" i="24"/>
  <c r="S19" i="24"/>
  <c r="S61" i="24"/>
  <c r="S84" i="24" s="1"/>
  <c r="T18" i="24"/>
  <c r="T19" i="24"/>
  <c r="T61" i="24"/>
  <c r="T84" i="24" s="1"/>
  <c r="U18" i="24"/>
  <c r="U19" i="24"/>
  <c r="U61" i="24"/>
  <c r="U84" i="24" s="1"/>
  <c r="S14" i="24"/>
  <c r="M51" i="24"/>
  <c r="M67" i="24" s="1"/>
  <c r="M52" i="24"/>
  <c r="M68" i="24" s="1"/>
  <c r="N52" i="24"/>
  <c r="N68" i="24" s="1"/>
  <c r="L53" i="24"/>
  <c r="L80" i="24" s="1"/>
  <c r="M53" i="24"/>
  <c r="M80" i="24" s="1"/>
  <c r="L54" i="24"/>
  <c r="L70" i="24" s="1"/>
  <c r="M54" i="24"/>
  <c r="M70" i="24" s="1"/>
  <c r="J108" i="24"/>
  <c r="M108" i="24"/>
  <c r="N108" i="24"/>
  <c r="I5" i="25" s="1"/>
  <c r="L108" i="24"/>
  <c r="I6" i="25" s="1"/>
  <c r="L55" i="24"/>
  <c r="L71" i="24" s="1"/>
  <c r="M55" i="24"/>
  <c r="M82" i="24" s="1"/>
  <c r="M71" i="24"/>
  <c r="J109" i="24"/>
  <c r="M109" i="24"/>
  <c r="N109" i="24"/>
  <c r="J5" i="25" s="1"/>
  <c r="L109" i="24"/>
  <c r="J6" i="25" s="1"/>
  <c r="X13" i="24"/>
  <c r="Q35" i="24"/>
  <c r="X35" i="24" s="1"/>
  <c r="Q36" i="24"/>
  <c r="X36" i="24" s="1"/>
  <c r="Q37" i="24"/>
  <c r="X37" i="24" s="1"/>
  <c r="Z13" i="24"/>
  <c r="S36" i="24"/>
  <c r="Z36" i="24" s="1"/>
  <c r="S37" i="24"/>
  <c r="Z37" i="24" s="1"/>
  <c r="AA13" i="24"/>
  <c r="T36" i="24"/>
  <c r="AA36" i="24"/>
  <c r="T37" i="24"/>
  <c r="AA37" i="24" s="1"/>
  <c r="AB13" i="24"/>
  <c r="U36" i="24"/>
  <c r="AB36" i="24" s="1"/>
  <c r="U37" i="24"/>
  <c r="AB37" i="24" s="1"/>
  <c r="Q13" i="24"/>
  <c r="S13" i="24"/>
  <c r="T13" i="24"/>
  <c r="U13" i="24"/>
  <c r="A19" i="24"/>
  <c r="N1" i="25"/>
  <c r="D4" i="25" s="1"/>
  <c r="L102" i="24"/>
  <c r="O6" i="25" s="1"/>
  <c r="N102" i="24"/>
  <c r="O5" i="25" s="1"/>
  <c r="A5" i="25"/>
  <c r="O116" i="24"/>
  <c r="O126" i="24"/>
  <c r="J126" i="24"/>
  <c r="O125" i="24"/>
  <c r="J125" i="24"/>
  <c r="O102" i="24"/>
  <c r="O119" i="24" s="1"/>
  <c r="J102" i="24"/>
  <c r="J119" i="24" s="1"/>
  <c r="A118" i="24"/>
  <c r="A116" i="24"/>
  <c r="A115" i="24"/>
  <c r="M102" i="24"/>
  <c r="AH65" i="24" s="1"/>
  <c r="D102" i="24"/>
  <c r="A101" i="24"/>
  <c r="A97" i="24"/>
  <c r="O96" i="24"/>
  <c r="V96" i="24" s="1"/>
  <c r="AC96" i="24" s="1"/>
  <c r="A96" i="24"/>
  <c r="J95" i="24"/>
  <c r="O95" i="24" s="1"/>
  <c r="L95" i="24"/>
  <c r="M95" i="24"/>
  <c r="N95" i="24"/>
  <c r="A92" i="24"/>
  <c r="O91" i="24"/>
  <c r="V91" i="24" s="1"/>
  <c r="AC91" i="24" s="1"/>
  <c r="A91" i="24"/>
  <c r="A87" i="24"/>
  <c r="O86" i="24"/>
  <c r="V86" i="24" s="1"/>
  <c r="AC86" i="24" s="1"/>
  <c r="A86" i="24"/>
  <c r="A85" i="24"/>
  <c r="A84" i="24"/>
  <c r="O83" i="24"/>
  <c r="V83" i="24" s="1"/>
  <c r="AC83" i="24" s="1"/>
  <c r="A83" i="24"/>
  <c r="A77" i="24"/>
  <c r="O76" i="24"/>
  <c r="V76" i="24" s="1"/>
  <c r="AC76" i="24" s="1"/>
  <c r="A76" i="24"/>
  <c r="A72" i="24"/>
  <c r="A66" i="24"/>
  <c r="O65" i="24"/>
  <c r="V65" i="24" s="1"/>
  <c r="AC65" i="24" s="1"/>
  <c r="A65" i="24"/>
  <c r="AF63" i="24"/>
  <c r="AE63" i="24"/>
  <c r="X63" i="24"/>
  <c r="Q63" i="24"/>
  <c r="J63" i="24"/>
  <c r="A63" i="24"/>
  <c r="A61" i="24"/>
  <c r="A48" i="24"/>
  <c r="A47" i="24"/>
  <c r="A46" i="24"/>
  <c r="A44" i="24"/>
  <c r="A43" i="24"/>
  <c r="A42" i="24"/>
  <c r="A41" i="24"/>
  <c r="A40" i="24"/>
  <c r="A39" i="24"/>
  <c r="A38" i="24"/>
  <c r="A37" i="24"/>
  <c r="A36" i="24"/>
  <c r="A35" i="24"/>
  <c r="D34" i="24"/>
  <c r="A34" i="24"/>
  <c r="D33" i="24"/>
  <c r="A33" i="24"/>
  <c r="X32" i="24"/>
  <c r="Q32" i="24"/>
  <c r="D31" i="24"/>
  <c r="A31" i="24"/>
  <c r="D30" i="24"/>
  <c r="A30" i="24"/>
  <c r="D29" i="24"/>
  <c r="A29" i="24"/>
  <c r="A28" i="24"/>
  <c r="D27" i="24"/>
  <c r="A27" i="24"/>
  <c r="D26" i="24"/>
  <c r="A26" i="24"/>
  <c r="A25" i="24"/>
  <c r="D20" i="24"/>
  <c r="D23" i="24" s="1"/>
  <c r="A24" i="24"/>
  <c r="A17" i="24"/>
  <c r="A16" i="24"/>
  <c r="A15" i="24"/>
  <c r="A14" i="24"/>
  <c r="O13" i="24"/>
  <c r="A13" i="24"/>
  <c r="AB12" i="24"/>
  <c r="AA12" i="24"/>
  <c r="Z12" i="24"/>
  <c r="X12" i="24"/>
  <c r="U12" i="24"/>
  <c r="T12" i="24"/>
  <c r="S12" i="24"/>
  <c r="Q12" i="24"/>
  <c r="A12" i="24"/>
  <c r="X11" i="24"/>
  <c r="Q11" i="24"/>
  <c r="O11" i="24"/>
  <c r="J11" i="24"/>
  <c r="A11" i="24"/>
  <c r="N10" i="24"/>
  <c r="M10" i="24"/>
  <c r="L10" i="24"/>
  <c r="J10" i="24"/>
  <c r="D10" i="24"/>
  <c r="A10" i="24"/>
  <c r="N9" i="24"/>
  <c r="M9" i="24"/>
  <c r="L9" i="24"/>
  <c r="A9" i="24"/>
  <c r="N8" i="24"/>
  <c r="M8" i="24"/>
  <c r="L8" i="24"/>
  <c r="A8" i="24"/>
  <c r="D7" i="24"/>
  <c r="A7" i="24"/>
  <c r="A6" i="24"/>
  <c r="A5" i="24"/>
  <c r="J4" i="24"/>
  <c r="D4" i="24"/>
  <c r="C4" i="24"/>
  <c r="B4" i="24"/>
  <c r="A4" i="24"/>
  <c r="U3" i="24"/>
  <c r="AB3" i="24"/>
  <c r="T3" i="24"/>
  <c r="AA3" i="24"/>
  <c r="S3" i="24"/>
  <c r="Z3" i="24" s="1"/>
  <c r="Q3" i="24"/>
  <c r="X3" i="24" s="1"/>
  <c r="O3" i="24"/>
  <c r="A1" i="24"/>
  <c r="L67" i="24" l="1"/>
  <c r="L78" i="24"/>
  <c r="Q16" i="24"/>
  <c r="Q48" i="24" s="1"/>
  <c r="Q54" i="24" s="1"/>
  <c r="X33" i="24"/>
  <c r="X16" i="24" s="1"/>
  <c r="X48" i="24" s="1"/>
  <c r="X49" i="24" s="1"/>
  <c r="X97" i="24" s="1"/>
  <c r="Q38" i="24"/>
  <c r="Q21" i="24" s="1"/>
  <c r="Q93" i="24" s="1"/>
  <c r="L52" i="24"/>
  <c r="L79" i="24" s="1"/>
  <c r="O89" i="24"/>
  <c r="AF89" i="24" s="1"/>
  <c r="L81" i="24"/>
  <c r="J52" i="24"/>
  <c r="Q39" i="24"/>
  <c r="X39" i="24" s="1"/>
  <c r="X44" i="24" s="1"/>
  <c r="X24" i="24" s="1"/>
  <c r="R15" i="24"/>
  <c r="R33" i="24"/>
  <c r="Y33" i="24" s="1"/>
  <c r="Y16" i="24" s="1"/>
  <c r="Y48" i="24" s="1"/>
  <c r="Y53" i="24" s="1"/>
  <c r="N54" i="24"/>
  <c r="N81" i="24" s="1"/>
  <c r="M78" i="24"/>
  <c r="AB14" i="24"/>
  <c r="AA14" i="24"/>
  <c r="N71" i="24"/>
  <c r="N67" i="24"/>
  <c r="N55" i="24"/>
  <c r="N82" i="24" s="1"/>
  <c r="N49" i="24"/>
  <c r="N53" i="24"/>
  <c r="N69" i="24" s="1"/>
  <c r="U35" i="24"/>
  <c r="X34" i="24"/>
  <c r="X17" i="24" s="1"/>
  <c r="X47" i="24" s="1"/>
  <c r="X52" i="24" s="1"/>
  <c r="K54" i="24"/>
  <c r="K81" i="24" s="1"/>
  <c r="L69" i="24"/>
  <c r="R39" i="24"/>
  <c r="D21" i="24"/>
  <c r="D24" i="24"/>
  <c r="D22" i="24"/>
  <c r="AG65" i="24"/>
  <c r="AF65" i="24"/>
  <c r="O7" i="25"/>
  <c r="E3" i="25"/>
  <c r="A4" i="25"/>
  <c r="A1" i="25"/>
  <c r="B4" i="25"/>
  <c r="C4" i="25"/>
  <c r="L82" i="24"/>
  <c r="M66" i="24"/>
  <c r="X38" i="24"/>
  <c r="X21" i="24" s="1"/>
  <c r="X93" i="24" s="1"/>
  <c r="M81" i="24"/>
  <c r="N79" i="24"/>
  <c r="M79" i="24"/>
  <c r="L77" i="24"/>
  <c r="N66" i="24"/>
  <c r="M69" i="24"/>
  <c r="N70" i="24"/>
  <c r="N80" i="24"/>
  <c r="R44" i="24"/>
  <c r="R24" i="24" s="1"/>
  <c r="Q44" i="24"/>
  <c r="Q24" i="24" s="1"/>
  <c r="Q51" i="24"/>
  <c r="U16" i="24"/>
  <c r="U48" i="24" s="1"/>
  <c r="AB33" i="24"/>
  <c r="AB16" i="24" s="1"/>
  <c r="AB48" i="24" s="1"/>
  <c r="S38" i="24"/>
  <c r="Z35" i="24"/>
  <c r="Z38" i="24" s="1"/>
  <c r="AA33" i="24"/>
  <c r="AA16" i="24" s="1"/>
  <c r="AA48" i="24" s="1"/>
  <c r="T16" i="24"/>
  <c r="T48" i="24" s="1"/>
  <c r="Y35" i="24"/>
  <c r="Y38" i="24" s="1"/>
  <c r="R38" i="24"/>
  <c r="T35" i="24"/>
  <c r="T39" i="24"/>
  <c r="U39" i="24"/>
  <c r="S39" i="24"/>
  <c r="R16" i="24"/>
  <c r="R48" i="24" s="1"/>
  <c r="R51" i="24" s="1"/>
  <c r="S33" i="24"/>
  <c r="Y39" i="24"/>
  <c r="Y44" i="24" s="1"/>
  <c r="Y24" i="24" s="1"/>
  <c r="J51" i="24"/>
  <c r="J78" i="24" s="1"/>
  <c r="J54" i="24"/>
  <c r="J81" i="24" s="1"/>
  <c r="Y14" i="24"/>
  <c r="J49" i="24"/>
  <c r="J97" i="24" s="1"/>
  <c r="J55" i="24"/>
  <c r="J82" i="24" s="1"/>
  <c r="J53" i="24"/>
  <c r="J80" i="24" s="1"/>
  <c r="O92" i="24"/>
  <c r="AF92" i="24" s="1"/>
  <c r="O90" i="24"/>
  <c r="AF90" i="24" s="1"/>
  <c r="Y55" i="24"/>
  <c r="Y82" i="24" s="1"/>
  <c r="O94" i="24"/>
  <c r="AF94" i="24" s="1"/>
  <c r="O16" i="24"/>
  <c r="O88" i="24"/>
  <c r="AF88" i="24" s="1"/>
  <c r="O87" i="24"/>
  <c r="AF87" i="24" s="1"/>
  <c r="A57" i="24"/>
  <c r="A60" i="24"/>
  <c r="K60" i="24" s="1"/>
  <c r="K75" i="24" s="1"/>
  <c r="A59" i="24"/>
  <c r="K59" i="24" s="1"/>
  <c r="K74" i="24" s="1"/>
  <c r="A58" i="24"/>
  <c r="J58" i="24" s="1"/>
  <c r="J73" i="24" s="1"/>
  <c r="L49" i="24"/>
  <c r="J66" i="24"/>
  <c r="J77" i="24"/>
  <c r="J79" i="24"/>
  <c r="Q14" i="24"/>
  <c r="O15" i="24"/>
  <c r="D5" i="25" s="1"/>
  <c r="O19" i="24"/>
  <c r="X15" i="24"/>
  <c r="Q15" i="24"/>
  <c r="O14" i="24"/>
  <c r="K53" i="24"/>
  <c r="K70" i="24"/>
  <c r="Y49" i="24"/>
  <c r="Y50" i="24"/>
  <c r="K55" i="24"/>
  <c r="K77" i="24"/>
  <c r="K51" i="24"/>
  <c r="K49" i="24"/>
  <c r="K97" i="24" s="1"/>
  <c r="K52" i="24"/>
  <c r="Y54" i="24"/>
  <c r="O84" i="24"/>
  <c r="AF84" i="24" s="1"/>
  <c r="J103" i="24" s="1"/>
  <c r="J120" i="24" s="1"/>
  <c r="J70" i="24"/>
  <c r="J68" i="24"/>
  <c r="Q50" i="24"/>
  <c r="Q55" i="24"/>
  <c r="Q53" i="24"/>
  <c r="X54" i="24" l="1"/>
  <c r="X50" i="24"/>
  <c r="X61" i="24"/>
  <c r="X84" i="24" s="1"/>
  <c r="AC84" i="24" s="1"/>
  <c r="AH84" i="24" s="1"/>
  <c r="Q88" i="24"/>
  <c r="L68" i="24"/>
  <c r="Q49" i="24"/>
  <c r="Q97" i="24" s="1"/>
  <c r="X55" i="24"/>
  <c r="X82" i="24" s="1"/>
  <c r="Q61" i="24"/>
  <c r="Q84" i="24" s="1"/>
  <c r="V84" i="24" s="1"/>
  <c r="AG84" i="24" s="1"/>
  <c r="U38" i="24"/>
  <c r="AB35" i="24"/>
  <c r="AB38" i="24" s="1"/>
  <c r="AB20" i="24" s="1"/>
  <c r="AB92" i="24" s="1"/>
  <c r="Y52" i="24"/>
  <c r="Y68" i="24" s="1"/>
  <c r="Q52" i="24"/>
  <c r="X53" i="24"/>
  <c r="X69" i="24" s="1"/>
  <c r="Y51" i="24"/>
  <c r="Y78" i="24" s="1"/>
  <c r="Q22" i="24"/>
  <c r="Q94" i="24" s="1"/>
  <c r="X57" i="24"/>
  <c r="X72" i="24" s="1"/>
  <c r="X51" i="24"/>
  <c r="X78" i="24" s="1"/>
  <c r="Q20" i="24"/>
  <c r="Q92" i="24" s="1"/>
  <c r="Q23" i="24"/>
  <c r="Q95" i="24" s="1"/>
  <c r="Y97" i="24"/>
  <c r="X23" i="24"/>
  <c r="X95" i="24" s="1"/>
  <c r="J69" i="24"/>
  <c r="J67" i="24"/>
  <c r="X20" i="24"/>
  <c r="X87" i="24" s="1"/>
  <c r="X88" i="24"/>
  <c r="AB21" i="24"/>
  <c r="AB88" i="24" s="1"/>
  <c r="R53" i="24"/>
  <c r="R52" i="24"/>
  <c r="R79" i="24" s="1"/>
  <c r="R50" i="24"/>
  <c r="R66" i="24" s="1"/>
  <c r="R49" i="24"/>
  <c r="R97" i="24" s="1"/>
  <c r="X22" i="24"/>
  <c r="R54" i="24"/>
  <c r="R70" i="24" s="1"/>
  <c r="R55" i="24"/>
  <c r="R71" i="24" s="1"/>
  <c r="O66" i="24"/>
  <c r="AF66" i="24" s="1"/>
  <c r="Q58" i="24"/>
  <c r="Q73" i="24" s="1"/>
  <c r="O97" i="24"/>
  <c r="AF97" i="24" s="1"/>
  <c r="R58" i="24"/>
  <c r="R73" i="24" s="1"/>
  <c r="X58" i="24"/>
  <c r="X73" i="24" s="1"/>
  <c r="K58" i="24"/>
  <c r="K73" i="24" s="1"/>
  <c r="Y59" i="24"/>
  <c r="Y74" i="24" s="1"/>
  <c r="R59" i="24"/>
  <c r="R74" i="24" s="1"/>
  <c r="X59" i="24"/>
  <c r="X74" i="24" s="1"/>
  <c r="Q59" i="24"/>
  <c r="Q74" i="24" s="1"/>
  <c r="Y58" i="24"/>
  <c r="Y73" i="24" s="1"/>
  <c r="Q78" i="24"/>
  <c r="AA54" i="24"/>
  <c r="AA53" i="24"/>
  <c r="AA52" i="24"/>
  <c r="AA50" i="24"/>
  <c r="AA55" i="24"/>
  <c r="AA49" i="24"/>
  <c r="AA51" i="24"/>
  <c r="U51" i="24"/>
  <c r="U54" i="24"/>
  <c r="U55" i="24"/>
  <c r="U50" i="24"/>
  <c r="U52" i="24"/>
  <c r="U53" i="24"/>
  <c r="U44" i="24"/>
  <c r="U24" i="24" s="1"/>
  <c r="U97" i="24" s="1"/>
  <c r="AB39" i="24"/>
  <c r="AB44" i="24" s="1"/>
  <c r="AB24" i="24" s="1"/>
  <c r="AB97" i="24" s="1"/>
  <c r="U49" i="24"/>
  <c r="T38" i="24"/>
  <c r="AA35" i="24"/>
  <c r="AA38" i="24" s="1"/>
  <c r="Y71" i="24"/>
  <c r="S16" i="24"/>
  <c r="S48" i="24" s="1"/>
  <c r="S57" i="24" s="1"/>
  <c r="S72" i="24" s="1"/>
  <c r="Z33" i="24"/>
  <c r="Z16" i="24" s="1"/>
  <c r="Z48" i="24" s="1"/>
  <c r="Z58" i="24" s="1"/>
  <c r="Z73" i="24" s="1"/>
  <c r="AB87" i="24"/>
  <c r="R23" i="24"/>
  <c r="R22" i="24"/>
  <c r="R20" i="24"/>
  <c r="R21" i="24"/>
  <c r="Z21" i="24"/>
  <c r="Z23" i="24"/>
  <c r="Z20" i="24"/>
  <c r="Z22" i="24"/>
  <c r="T44" i="24"/>
  <c r="T24" i="24" s="1"/>
  <c r="T97" i="24" s="1"/>
  <c r="AA39" i="24"/>
  <c r="AA44" i="24" s="1"/>
  <c r="AA24" i="24" s="1"/>
  <c r="AA97" i="24" s="1"/>
  <c r="Y20" i="24"/>
  <c r="Y23" i="24"/>
  <c r="Y22" i="24"/>
  <c r="Y21" i="24"/>
  <c r="S20" i="24"/>
  <c r="S23" i="24"/>
  <c r="S22" i="24"/>
  <c r="S21" i="24"/>
  <c r="S44" i="24"/>
  <c r="S24" i="24" s="1"/>
  <c r="S97" i="24" s="1"/>
  <c r="Z39" i="24"/>
  <c r="Z44" i="24" s="1"/>
  <c r="Z24" i="24" s="1"/>
  <c r="Z97" i="24" s="1"/>
  <c r="T49" i="24"/>
  <c r="T52" i="24"/>
  <c r="T53" i="24"/>
  <c r="T50" i="24"/>
  <c r="T55" i="24"/>
  <c r="T51" i="24"/>
  <c r="T54" i="24"/>
  <c r="AB55" i="24"/>
  <c r="AB54" i="24"/>
  <c r="AB49" i="24"/>
  <c r="AB51" i="24"/>
  <c r="AB52" i="24"/>
  <c r="AB50" i="24"/>
  <c r="AB53" i="24"/>
  <c r="J71" i="24"/>
  <c r="O81" i="24"/>
  <c r="AF81" i="24" s="1"/>
  <c r="Y60" i="24"/>
  <c r="Y75" i="24" s="1"/>
  <c r="R57" i="24"/>
  <c r="R72" i="24" s="1"/>
  <c r="J57" i="24"/>
  <c r="J72" i="24" s="1"/>
  <c r="AA60" i="24"/>
  <c r="AA75" i="24" s="1"/>
  <c r="S60" i="24"/>
  <c r="S75" i="24" s="1"/>
  <c r="N60" i="24"/>
  <c r="N75" i="24" s="1"/>
  <c r="AB60" i="24"/>
  <c r="AB75" i="24" s="1"/>
  <c r="T60" i="24"/>
  <c r="T75" i="24" s="1"/>
  <c r="U60" i="24"/>
  <c r="U75" i="24" s="1"/>
  <c r="L60" i="24"/>
  <c r="L75" i="24" s="1"/>
  <c r="M60" i="24"/>
  <c r="M75" i="24" s="1"/>
  <c r="J60" i="24"/>
  <c r="J75" i="24" s="1"/>
  <c r="K57" i="24"/>
  <c r="K72" i="24" s="1"/>
  <c r="R60" i="24"/>
  <c r="R75" i="24" s="1"/>
  <c r="T58" i="24"/>
  <c r="T73" i="24" s="1"/>
  <c r="N58" i="24"/>
  <c r="N73" i="24" s="1"/>
  <c r="U58" i="24"/>
  <c r="U73" i="24" s="1"/>
  <c r="M58" i="24"/>
  <c r="M73" i="24" s="1"/>
  <c r="AA58" i="24"/>
  <c r="AA73" i="24" s="1"/>
  <c r="L58" i="24"/>
  <c r="L73" i="24" s="1"/>
  <c r="AB58" i="24"/>
  <c r="AB73" i="24" s="1"/>
  <c r="Y57" i="24"/>
  <c r="Y72" i="24" s="1"/>
  <c r="L57" i="24"/>
  <c r="L72" i="24" s="1"/>
  <c r="M57" i="24"/>
  <c r="M72" i="24" s="1"/>
  <c r="Q57" i="24"/>
  <c r="Q72" i="24" s="1"/>
  <c r="AA57" i="24"/>
  <c r="AA72" i="24" s="1"/>
  <c r="N57" i="24"/>
  <c r="N72" i="24" s="1"/>
  <c r="AB57" i="24"/>
  <c r="AB72" i="24" s="1"/>
  <c r="T57" i="24"/>
  <c r="T72" i="24" s="1"/>
  <c r="U57" i="24"/>
  <c r="U72" i="24" s="1"/>
  <c r="Q60" i="24"/>
  <c r="Q75" i="24" s="1"/>
  <c r="X60" i="24"/>
  <c r="X75" i="24" s="1"/>
  <c r="J59" i="24"/>
  <c r="J74" i="24" s="1"/>
  <c r="AA59" i="24"/>
  <c r="AA74" i="24" s="1"/>
  <c r="AB59" i="24"/>
  <c r="AB74" i="24" s="1"/>
  <c r="L59" i="24"/>
  <c r="L74" i="24" s="1"/>
  <c r="U59" i="24"/>
  <c r="U74" i="24" s="1"/>
  <c r="M59" i="24"/>
  <c r="M74" i="24" s="1"/>
  <c r="N59" i="24"/>
  <c r="N74" i="24" s="1"/>
  <c r="T59" i="24"/>
  <c r="T74" i="24" s="1"/>
  <c r="Q67" i="24"/>
  <c r="O77" i="24"/>
  <c r="AF77" i="24" s="1"/>
  <c r="K80" i="24"/>
  <c r="O80" i="24" s="1"/>
  <c r="AF80" i="24" s="1"/>
  <c r="K69" i="24"/>
  <c r="O103" i="24"/>
  <c r="O120" i="24" s="1"/>
  <c r="Y80" i="24"/>
  <c r="Y69" i="24"/>
  <c r="K71" i="24"/>
  <c r="K82" i="24"/>
  <c r="O82" i="24" s="1"/>
  <c r="AF82" i="24" s="1"/>
  <c r="R69" i="24"/>
  <c r="R80" i="24"/>
  <c r="Y66" i="24"/>
  <c r="Y77" i="24"/>
  <c r="K67" i="24"/>
  <c r="O67" i="24" s="1"/>
  <c r="AF67" i="24" s="1"/>
  <c r="K78" i="24"/>
  <c r="O78" i="24" s="1"/>
  <c r="AF78" i="24" s="1"/>
  <c r="Y79" i="24"/>
  <c r="Y81" i="24"/>
  <c r="Y70" i="24"/>
  <c r="R78" i="24"/>
  <c r="R67" i="24"/>
  <c r="O70" i="24"/>
  <c r="AF70" i="24" s="1"/>
  <c r="K68" i="24"/>
  <c r="O68" i="24" s="1"/>
  <c r="AF68" i="24" s="1"/>
  <c r="K79" i="24"/>
  <c r="O79" i="24" s="1"/>
  <c r="AF79" i="24" s="1"/>
  <c r="Y67" i="24"/>
  <c r="Q79" i="24"/>
  <c r="Q68" i="24"/>
  <c r="Q80" i="24"/>
  <c r="Q69" i="24"/>
  <c r="X80" i="24"/>
  <c r="X77" i="24"/>
  <c r="X66" i="24"/>
  <c r="Q82" i="24"/>
  <c r="Q71" i="24"/>
  <c r="Q66" i="24"/>
  <c r="Q77" i="24"/>
  <c r="X81" i="24"/>
  <c r="X70" i="24"/>
  <c r="X79" i="24"/>
  <c r="X68" i="24"/>
  <c r="Q81" i="24"/>
  <c r="Q70" i="24"/>
  <c r="X67" i="24" l="1"/>
  <c r="AB23" i="24"/>
  <c r="AB90" i="24" s="1"/>
  <c r="X92" i="24"/>
  <c r="Q87" i="24"/>
  <c r="AB22" i="24"/>
  <c r="AB94" i="24" s="1"/>
  <c r="U22" i="24"/>
  <c r="U23" i="24"/>
  <c r="U20" i="24"/>
  <c r="U21" i="24"/>
  <c r="Q89" i="24"/>
  <c r="X71" i="24"/>
  <c r="Q90" i="24"/>
  <c r="R77" i="24"/>
  <c r="X90" i="24"/>
  <c r="Z57" i="24"/>
  <c r="Z72" i="24" s="1"/>
  <c r="AC72" i="24" s="1"/>
  <c r="AH72" i="24" s="1"/>
  <c r="Z59" i="24"/>
  <c r="Z74" i="24" s="1"/>
  <c r="AC74" i="24" s="1"/>
  <c r="AH74" i="24" s="1"/>
  <c r="Z60" i="24"/>
  <c r="Z75" i="24" s="1"/>
  <c r="R68" i="24"/>
  <c r="S58" i="24"/>
  <c r="S73" i="24" s="1"/>
  <c r="V73" i="24" s="1"/>
  <c r="AG73" i="24" s="1"/>
  <c r="R82" i="24"/>
  <c r="R81" i="24"/>
  <c r="O69" i="24"/>
  <c r="AF69" i="24" s="1"/>
  <c r="J107" i="24" s="1"/>
  <c r="J124" i="24" s="1"/>
  <c r="AB93" i="24"/>
  <c r="S59" i="24"/>
  <c r="S74" i="24" s="1"/>
  <c r="V74" i="24" s="1"/>
  <c r="AG74" i="24" s="1"/>
  <c r="AC97" i="24"/>
  <c r="AH97" i="24" s="1"/>
  <c r="X94" i="24"/>
  <c r="X89" i="24"/>
  <c r="O73" i="24"/>
  <c r="AF73" i="24" s="1"/>
  <c r="J111" i="24" s="1"/>
  <c r="J128" i="24" s="1"/>
  <c r="J106" i="24"/>
  <c r="J123" i="24" s="1"/>
  <c r="J105" i="24"/>
  <c r="J122" i="24" s="1"/>
  <c r="O72" i="24"/>
  <c r="AF72" i="24" s="1"/>
  <c r="J110" i="24" s="1"/>
  <c r="J127" i="24" s="1"/>
  <c r="J104" i="24"/>
  <c r="J121" i="24" s="1"/>
  <c r="O75" i="24"/>
  <c r="AF75" i="24" s="1"/>
  <c r="J113" i="24" s="1"/>
  <c r="J130" i="24" s="1"/>
  <c r="V97" i="24"/>
  <c r="AG97" i="24" s="1"/>
  <c r="AC73" i="24"/>
  <c r="AH73" i="24" s="1"/>
  <c r="O71" i="24"/>
  <c r="AF71" i="24" s="1"/>
  <c r="U67" i="24"/>
  <c r="U78" i="24"/>
  <c r="AB70" i="24"/>
  <c r="AB81" i="24"/>
  <c r="S88" i="24"/>
  <c r="S93" i="24"/>
  <c r="AA67" i="24"/>
  <c r="AA78" i="24"/>
  <c r="AB82" i="24"/>
  <c r="AB71" i="24"/>
  <c r="S92" i="24"/>
  <c r="S87" i="24"/>
  <c r="AA66" i="24"/>
  <c r="AA77" i="24"/>
  <c r="V72" i="24"/>
  <c r="AG72" i="24" s="1"/>
  <c r="T82" i="24"/>
  <c r="T71" i="24"/>
  <c r="Y93" i="24"/>
  <c r="Y88" i="24"/>
  <c r="Z95" i="24"/>
  <c r="Z90" i="24"/>
  <c r="AA68" i="24"/>
  <c r="AA79" i="24"/>
  <c r="T70" i="24"/>
  <c r="T81" i="24"/>
  <c r="AA82" i="24"/>
  <c r="AA71" i="24"/>
  <c r="T77" i="24"/>
  <c r="T66" i="24"/>
  <c r="Y94" i="24"/>
  <c r="Y89" i="24"/>
  <c r="Z88" i="24"/>
  <c r="Z93" i="24"/>
  <c r="AA80" i="24"/>
  <c r="AA69" i="24"/>
  <c r="Z89" i="24"/>
  <c r="Z94" i="24"/>
  <c r="Z92" i="24"/>
  <c r="Z87" i="24"/>
  <c r="T69" i="24"/>
  <c r="T80" i="24"/>
  <c r="U80" i="24"/>
  <c r="U69" i="24"/>
  <c r="AB80" i="24"/>
  <c r="AB69" i="24"/>
  <c r="T68" i="24"/>
  <c r="T79" i="24"/>
  <c r="Y87" i="24"/>
  <c r="Y92" i="24"/>
  <c r="R87" i="24"/>
  <c r="R92" i="24"/>
  <c r="Z52" i="24"/>
  <c r="Z55" i="24"/>
  <c r="Z50" i="24"/>
  <c r="Z53" i="24"/>
  <c r="Z54" i="24"/>
  <c r="Z51" i="24"/>
  <c r="Z49" i="24"/>
  <c r="T22" i="24"/>
  <c r="T21" i="24"/>
  <c r="T23" i="24"/>
  <c r="T20" i="24"/>
  <c r="U68" i="24"/>
  <c r="U79" i="24"/>
  <c r="T67" i="24"/>
  <c r="T78" i="24"/>
  <c r="Y90" i="24"/>
  <c r="Y95" i="24"/>
  <c r="R88" i="24"/>
  <c r="R93" i="24"/>
  <c r="AA23" i="24"/>
  <c r="AA22" i="24"/>
  <c r="AA20" i="24"/>
  <c r="AA21" i="24"/>
  <c r="AA70" i="24"/>
  <c r="AA81" i="24"/>
  <c r="AC75" i="24"/>
  <c r="AH75" i="24" s="1"/>
  <c r="AB66" i="24"/>
  <c r="AB77" i="24"/>
  <c r="R89" i="24"/>
  <c r="R94" i="24"/>
  <c r="S54" i="24"/>
  <c r="S52" i="24"/>
  <c r="S50" i="24"/>
  <c r="S55" i="24"/>
  <c r="S53" i="24"/>
  <c r="S51" i="24"/>
  <c r="S49" i="24"/>
  <c r="U77" i="24"/>
  <c r="U66" i="24"/>
  <c r="S94" i="24"/>
  <c r="S89" i="24"/>
  <c r="S95" i="24"/>
  <c r="S90" i="24"/>
  <c r="AB79" i="24"/>
  <c r="AB68" i="24"/>
  <c r="R95" i="24"/>
  <c r="R90" i="24"/>
  <c r="U82" i="24"/>
  <c r="U71" i="24"/>
  <c r="AB67" i="24"/>
  <c r="AB78" i="24"/>
  <c r="U70" i="24"/>
  <c r="U81" i="24"/>
  <c r="V75" i="24"/>
  <c r="AG75" i="24" s="1"/>
  <c r="O74" i="24"/>
  <c r="AF74" i="24" s="1"/>
  <c r="J112" i="24" s="1"/>
  <c r="J129" i="24" s="1"/>
  <c r="AB89" i="24" l="1"/>
  <c r="AB95" i="24"/>
  <c r="U92" i="24"/>
  <c r="U87" i="24"/>
  <c r="U90" i="24"/>
  <c r="U95" i="24"/>
  <c r="U89" i="24"/>
  <c r="U94" i="24"/>
  <c r="U88" i="24"/>
  <c r="U93" i="24"/>
  <c r="Z67" i="24"/>
  <c r="AC67" i="24" s="1"/>
  <c r="AH67" i="24" s="1"/>
  <c r="Z78" i="24"/>
  <c r="AC78" i="24" s="1"/>
  <c r="AH78" i="24" s="1"/>
  <c r="Z81" i="24"/>
  <c r="AC81" i="24" s="1"/>
  <c r="AH81" i="24" s="1"/>
  <c r="Z70" i="24"/>
  <c r="AC70" i="24" s="1"/>
  <c r="AH70" i="24" s="1"/>
  <c r="Z66" i="24"/>
  <c r="AC66" i="24" s="1"/>
  <c r="AH66" i="24" s="1"/>
  <c r="Z77" i="24"/>
  <c r="AC77" i="24" s="1"/>
  <c r="AH77" i="24" s="1"/>
  <c r="Z71" i="24"/>
  <c r="AC71" i="24" s="1"/>
  <c r="AH71" i="24" s="1"/>
  <c r="Z82" i="24"/>
  <c r="AC82" i="24" s="1"/>
  <c r="AH82" i="24" s="1"/>
  <c r="S67" i="24"/>
  <c r="V67" i="24" s="1"/>
  <c r="AG67" i="24" s="1"/>
  <c r="S78" i="24"/>
  <c r="V78" i="24" s="1"/>
  <c r="AG78" i="24" s="1"/>
  <c r="Z68" i="24"/>
  <c r="AC68" i="24" s="1"/>
  <c r="AH68" i="24" s="1"/>
  <c r="Z79" i="24"/>
  <c r="AC79" i="24" s="1"/>
  <c r="AH79" i="24" s="1"/>
  <c r="S69" i="24"/>
  <c r="V69" i="24" s="1"/>
  <c r="AG69" i="24" s="1"/>
  <c r="S80" i="24"/>
  <c r="V80" i="24" s="1"/>
  <c r="AG80" i="24" s="1"/>
  <c r="AA88" i="24"/>
  <c r="AC88" i="24" s="1"/>
  <c r="AH88" i="24" s="1"/>
  <c r="AA93" i="24"/>
  <c r="AC93" i="24" s="1"/>
  <c r="AH93" i="24" s="1"/>
  <c r="S71" i="24"/>
  <c r="V71" i="24" s="1"/>
  <c r="AG71" i="24" s="1"/>
  <c r="S82" i="24"/>
  <c r="V82" i="24" s="1"/>
  <c r="AG82" i="24" s="1"/>
  <c r="T92" i="24"/>
  <c r="V92" i="24" s="1"/>
  <c r="AG92" i="24" s="1"/>
  <c r="T87" i="24"/>
  <c r="S66" i="24"/>
  <c r="V66" i="24" s="1"/>
  <c r="AG66" i="24" s="1"/>
  <c r="S77" i="24"/>
  <c r="V77" i="24" s="1"/>
  <c r="AG77" i="24" s="1"/>
  <c r="AA92" i="24"/>
  <c r="AC92" i="24" s="1"/>
  <c r="AH92" i="24" s="1"/>
  <c r="AA87" i="24"/>
  <c r="AC87" i="24" s="1"/>
  <c r="AH87" i="24" s="1"/>
  <c r="T95" i="24"/>
  <c r="T90" i="24"/>
  <c r="Z80" i="24"/>
  <c r="AC80" i="24" s="1"/>
  <c r="AH80" i="24" s="1"/>
  <c r="Z69" i="24"/>
  <c r="AC69" i="24" s="1"/>
  <c r="AH69" i="24" s="1"/>
  <c r="S68" i="24"/>
  <c r="V68" i="24" s="1"/>
  <c r="AG68" i="24" s="1"/>
  <c r="S79" i="24"/>
  <c r="V79" i="24" s="1"/>
  <c r="AG79" i="24" s="1"/>
  <c r="AA89" i="24"/>
  <c r="AC89" i="24" s="1"/>
  <c r="AH89" i="24" s="1"/>
  <c r="AA94" i="24"/>
  <c r="AC94" i="24" s="1"/>
  <c r="AH94" i="24" s="1"/>
  <c r="T88" i="24"/>
  <c r="V88" i="24" s="1"/>
  <c r="AG88" i="24" s="1"/>
  <c r="T93" i="24"/>
  <c r="S81" i="24"/>
  <c r="V81" i="24" s="1"/>
  <c r="AG81" i="24" s="1"/>
  <c r="S70" i="24"/>
  <c r="V70" i="24" s="1"/>
  <c r="AG70" i="24" s="1"/>
  <c r="AA95" i="24"/>
  <c r="AA90" i="24"/>
  <c r="AC90" i="24" s="1"/>
  <c r="AH90" i="24" s="1"/>
  <c r="M113" i="24" s="1"/>
  <c r="N113" i="24" s="1"/>
  <c r="N5" i="25" s="1"/>
  <c r="T89" i="24"/>
  <c r="T94" i="24"/>
  <c r="V94" i="24" s="1"/>
  <c r="AG94" i="24" s="1"/>
  <c r="V89" i="24" l="1"/>
  <c r="AG89" i="24" s="1"/>
  <c r="L112" i="24" s="1"/>
  <c r="M6" i="25" s="1"/>
  <c r="AC95" i="24"/>
  <c r="V95" i="24"/>
  <c r="V93" i="24"/>
  <c r="AG93" i="24" s="1"/>
  <c r="L111" i="24" s="1"/>
  <c r="L6" i="25" s="1"/>
  <c r="V90" i="24"/>
  <c r="AG90" i="24" s="1"/>
  <c r="L113" i="24" s="1"/>
  <c r="N6" i="25" s="1"/>
  <c r="V87" i="24"/>
  <c r="AG87" i="24" s="1"/>
  <c r="L110" i="24" s="1"/>
  <c r="K6" i="25" s="1"/>
  <c r="M110" i="24"/>
  <c r="N110" i="24" s="1"/>
  <c r="K5" i="25" s="1"/>
  <c r="M107" i="24"/>
  <c r="N107" i="24" s="1"/>
  <c r="H5" i="25" s="1"/>
  <c r="M111" i="24"/>
  <c r="N111" i="24" s="1"/>
  <c r="L5" i="25" s="1"/>
  <c r="L106" i="24"/>
  <c r="G6" i="25" s="1"/>
  <c r="M106" i="24"/>
  <c r="N106" i="24" s="1"/>
  <c r="G5" i="25" s="1"/>
  <c r="M105" i="24"/>
  <c r="N105" i="24" s="1"/>
  <c r="F5" i="25" s="1"/>
  <c r="L107" i="24"/>
  <c r="H6" i="25" s="1"/>
  <c r="L105" i="24"/>
  <c r="F6" i="25" s="1"/>
  <c r="M112" i="24"/>
  <c r="N112" i="24" s="1"/>
  <c r="M5" i="25" s="1"/>
  <c r="L104" i="24"/>
  <c r="E6" i="25" s="1"/>
  <c r="M104" i="24"/>
  <c r="N104" i="24" s="1"/>
  <c r="E5" i="25" s="1"/>
  <c r="O26" i="25" l="1"/>
  <c r="O11" i="25"/>
  <c r="O27" i="25"/>
  <c r="O23" i="25"/>
  <c r="O25" i="25"/>
  <c r="O18" i="25"/>
  <c r="O14" i="25"/>
  <c r="O13" i="25"/>
  <c r="O12" i="25"/>
  <c r="O21" i="25"/>
  <c r="O15" i="25"/>
  <c r="O10" i="25"/>
  <c r="O19" i="25"/>
  <c r="O8" i="25"/>
  <c r="O16" i="25"/>
  <c r="O28" i="25"/>
  <c r="O20" i="25"/>
  <c r="O24" i="25"/>
  <c r="O17" i="25"/>
  <c r="O22" i="25"/>
  <c r="O9" i="25"/>
  <c r="O110" i="24" l="1"/>
  <c r="O127" i="24" s="1"/>
  <c r="O112" i="24"/>
  <c r="O129" i="24" s="1"/>
  <c r="O105" i="24"/>
  <c r="O122" i="24" s="1"/>
  <c r="O107" i="24"/>
  <c r="O124" i="24" s="1"/>
  <c r="O111" i="24"/>
  <c r="O128" i="24" s="1"/>
  <c r="O109" i="24"/>
  <c r="O113" i="24"/>
  <c r="O130" i="24" s="1"/>
  <c r="O108" i="24"/>
  <c r="O106" i="24"/>
  <c r="O123" i="24" s="1"/>
  <c r="O104" i="24"/>
  <c r="O121" i="24" s="1"/>
</calcChain>
</file>

<file path=xl/sharedStrings.xml><?xml version="1.0" encoding="utf-8"?>
<sst xmlns="http://schemas.openxmlformats.org/spreadsheetml/2006/main" count="364" uniqueCount="248">
  <si>
    <t>D5</t>
  </si>
  <si>
    <r>
      <t>D4.2</t>
    </r>
    <r>
      <rPr>
        <vertAlign val="subscript"/>
        <sz val="10"/>
        <color theme="1"/>
        <rFont val="Arial"/>
        <family val="2"/>
      </rPr>
      <t>R&lt;300</t>
    </r>
  </si>
  <si>
    <r>
      <t>D4.2</t>
    </r>
    <r>
      <rPr>
        <vertAlign val="subscript"/>
        <sz val="10"/>
        <color theme="1"/>
        <rFont val="Arial"/>
        <family val="2"/>
      </rPr>
      <t>R300-400</t>
    </r>
  </si>
  <si>
    <r>
      <t>D4.2</t>
    </r>
    <r>
      <rPr>
        <vertAlign val="subscript"/>
        <sz val="10"/>
        <color theme="1"/>
        <rFont val="Arial"/>
        <family val="2"/>
      </rPr>
      <t>R400-600</t>
    </r>
  </si>
  <si>
    <r>
      <t>D4.2</t>
    </r>
    <r>
      <rPr>
        <vertAlign val="subscript"/>
        <sz val="10"/>
        <color theme="1"/>
        <rFont val="Arial"/>
        <family val="2"/>
      </rPr>
      <t>R600-1200</t>
    </r>
  </si>
  <si>
    <r>
      <t>D4.1</t>
    </r>
    <r>
      <rPr>
        <vertAlign val="subscript"/>
        <sz val="10"/>
        <color theme="1"/>
        <rFont val="Arial"/>
        <family val="2"/>
      </rPr>
      <t>R&lt;300</t>
    </r>
  </si>
  <si>
    <r>
      <t>D4.1</t>
    </r>
    <r>
      <rPr>
        <vertAlign val="subscript"/>
        <sz val="10"/>
        <color theme="1"/>
        <rFont val="Arial"/>
        <family val="2"/>
      </rPr>
      <t>R300-400</t>
    </r>
  </si>
  <si>
    <r>
      <t>D4.1</t>
    </r>
    <r>
      <rPr>
        <vertAlign val="subscript"/>
        <sz val="10"/>
        <color theme="1"/>
        <rFont val="Arial"/>
        <family val="2"/>
      </rPr>
      <t>R400-600</t>
    </r>
  </si>
  <si>
    <r>
      <t>D4.1</t>
    </r>
    <r>
      <rPr>
        <vertAlign val="subscript"/>
        <sz val="10"/>
        <color theme="1"/>
        <rFont val="Arial"/>
        <family val="2"/>
      </rPr>
      <t>R600-1200</t>
    </r>
  </si>
  <si>
    <t>Nm/m</t>
  </si>
  <si>
    <t>D3</t>
  </si>
  <si>
    <r>
      <t>mm</t>
    </r>
    <r>
      <rPr>
        <vertAlign val="superscript"/>
        <sz val="10"/>
        <color theme="1"/>
        <rFont val="Arial"/>
        <family val="2"/>
      </rPr>
      <t>2</t>
    </r>
  </si>
  <si>
    <r>
      <t>D2</t>
    </r>
    <r>
      <rPr>
        <vertAlign val="subscript"/>
        <sz val="10"/>
        <color theme="1"/>
        <rFont val="Arial"/>
        <family val="2"/>
      </rPr>
      <t>V140-160</t>
    </r>
  </si>
  <si>
    <r>
      <t>D2</t>
    </r>
    <r>
      <rPr>
        <vertAlign val="subscript"/>
        <sz val="10"/>
        <color theme="1"/>
        <rFont val="Arial"/>
        <family val="2"/>
      </rPr>
      <t>V120-140</t>
    </r>
  </si>
  <si>
    <r>
      <t>D2</t>
    </r>
    <r>
      <rPr>
        <vertAlign val="subscript"/>
        <sz val="10"/>
        <color theme="1"/>
        <rFont val="Arial"/>
        <family val="2"/>
      </rPr>
      <t>V100-120</t>
    </r>
  </si>
  <si>
    <r>
      <t>D2</t>
    </r>
    <r>
      <rPr>
        <vertAlign val="subscript"/>
        <sz val="10"/>
        <color theme="1"/>
        <rFont val="Arial"/>
        <family val="2"/>
      </rPr>
      <t>V80-100</t>
    </r>
  </si>
  <si>
    <r>
      <t>D2</t>
    </r>
    <r>
      <rPr>
        <vertAlign val="subscript"/>
        <sz val="10"/>
        <color theme="1"/>
        <rFont val="Arial"/>
        <family val="2"/>
      </rPr>
      <t>V0-80</t>
    </r>
  </si>
  <si>
    <r>
      <t>D1</t>
    </r>
    <r>
      <rPr>
        <vertAlign val="subscript"/>
        <sz val="10"/>
        <color theme="1"/>
        <rFont val="Arial"/>
        <family val="2"/>
      </rPr>
      <t>R&lt;300</t>
    </r>
  </si>
  <si>
    <r>
      <t>D1</t>
    </r>
    <r>
      <rPr>
        <vertAlign val="subscript"/>
        <sz val="10"/>
        <color theme="1"/>
        <rFont val="Arial"/>
        <family val="2"/>
      </rPr>
      <t>R300-400</t>
    </r>
  </si>
  <si>
    <r>
      <t>D1</t>
    </r>
    <r>
      <rPr>
        <vertAlign val="subscript"/>
        <sz val="10"/>
        <color theme="1"/>
        <rFont val="Arial"/>
        <family val="2"/>
      </rPr>
      <t>R400-600</t>
    </r>
  </si>
  <si>
    <r>
      <t>D1</t>
    </r>
    <r>
      <rPr>
        <vertAlign val="subscript"/>
        <sz val="10"/>
        <color theme="1"/>
        <rFont val="Arial"/>
        <family val="2"/>
      </rPr>
      <t>R600-1200</t>
    </r>
  </si>
  <si>
    <r>
      <t>D1</t>
    </r>
    <r>
      <rPr>
        <vertAlign val="subscript"/>
        <sz val="10"/>
        <color theme="1"/>
        <rFont val="Arial"/>
        <family val="2"/>
      </rPr>
      <t>V140-160</t>
    </r>
  </si>
  <si>
    <r>
      <t>D1</t>
    </r>
    <r>
      <rPr>
        <vertAlign val="subscript"/>
        <sz val="10"/>
        <color theme="1"/>
        <rFont val="Arial"/>
        <family val="2"/>
      </rPr>
      <t>V120-140</t>
    </r>
  </si>
  <si>
    <r>
      <t>D1</t>
    </r>
    <r>
      <rPr>
        <vertAlign val="subscript"/>
        <sz val="10"/>
        <color theme="1"/>
        <rFont val="Arial"/>
        <family val="2"/>
      </rPr>
      <t>V100-120</t>
    </r>
  </si>
  <si>
    <r>
      <t>D1</t>
    </r>
    <r>
      <rPr>
        <vertAlign val="subscript"/>
        <sz val="10"/>
        <color theme="1"/>
        <rFont val="Arial"/>
        <family val="2"/>
      </rPr>
      <t>V80-100</t>
    </r>
  </si>
  <si>
    <r>
      <t>D1</t>
    </r>
    <r>
      <rPr>
        <vertAlign val="subscript"/>
        <sz val="10"/>
        <color theme="1"/>
        <rFont val="Arial"/>
        <family val="2"/>
      </rPr>
      <t>V0-80</t>
    </r>
  </si>
  <si>
    <t>kN</t>
  </si>
  <si>
    <r>
      <t>Q</t>
    </r>
    <r>
      <rPr>
        <vertAlign val="subscript"/>
        <sz val="10"/>
        <color theme="1"/>
        <rFont val="Arial"/>
        <family val="2"/>
      </rPr>
      <t>V200</t>
    </r>
  </si>
  <si>
    <r>
      <t>Q</t>
    </r>
    <r>
      <rPr>
        <vertAlign val="subscript"/>
        <sz val="10"/>
        <color theme="1"/>
        <rFont val="Arial"/>
        <family val="2"/>
      </rPr>
      <t>V150</t>
    </r>
  </si>
  <si>
    <r>
      <t>Q</t>
    </r>
    <r>
      <rPr>
        <vertAlign val="subscript"/>
        <sz val="10"/>
        <color theme="1"/>
        <rFont val="Arial"/>
        <family val="2"/>
      </rPr>
      <t>V130</t>
    </r>
  </si>
  <si>
    <r>
      <t>Q</t>
    </r>
    <r>
      <rPr>
        <vertAlign val="subscript"/>
        <sz val="10"/>
        <color theme="1"/>
        <rFont val="Arial"/>
        <family val="2"/>
      </rPr>
      <t>V110</t>
    </r>
  </si>
  <si>
    <r>
      <t>Q</t>
    </r>
    <r>
      <rPr>
        <vertAlign val="subscript"/>
        <sz val="10"/>
        <color theme="1"/>
        <rFont val="Arial"/>
        <family val="2"/>
      </rPr>
      <t>V90</t>
    </r>
  </si>
  <si>
    <r>
      <t>Q</t>
    </r>
    <r>
      <rPr>
        <vertAlign val="subscript"/>
        <sz val="10"/>
        <color theme="1"/>
        <rFont val="Arial"/>
        <family val="2"/>
      </rPr>
      <t>V75</t>
    </r>
  </si>
  <si>
    <r>
      <t>Q</t>
    </r>
    <r>
      <rPr>
        <vertAlign val="subscript"/>
        <sz val="10"/>
        <color theme="1"/>
        <rFont val="Arial"/>
        <family val="2"/>
      </rPr>
      <t>0</t>
    </r>
  </si>
  <si>
    <r>
      <t>b</t>
    </r>
    <r>
      <rPr>
        <vertAlign val="subscript"/>
        <sz val="10"/>
        <color theme="1"/>
        <rFont val="Arial"/>
        <family val="2"/>
      </rPr>
      <t>Q</t>
    </r>
  </si>
  <si>
    <r>
      <t>a</t>
    </r>
    <r>
      <rPr>
        <vertAlign val="subscript"/>
        <sz val="10"/>
        <color theme="1"/>
        <rFont val="Arial"/>
        <family val="2"/>
      </rPr>
      <t>Q</t>
    </r>
  </si>
  <si>
    <t>kW</t>
  </si>
  <si>
    <r>
      <t>P</t>
    </r>
    <r>
      <rPr>
        <vertAlign val="subscript"/>
        <sz val="10"/>
        <color theme="1"/>
        <rFont val="Arial"/>
        <family val="2"/>
      </rPr>
      <t>Rad</t>
    </r>
  </si>
  <si>
    <t>m</t>
  </si>
  <si>
    <r>
      <t>R</t>
    </r>
    <r>
      <rPr>
        <vertAlign val="subscript"/>
        <sz val="10"/>
        <color theme="1"/>
        <rFont val="Arial"/>
        <family val="2"/>
      </rPr>
      <t>Rad</t>
    </r>
  </si>
  <si>
    <t>kg</t>
  </si>
  <si>
    <r>
      <t>m</t>
    </r>
    <r>
      <rPr>
        <vertAlign val="subscript"/>
        <sz val="10"/>
        <color theme="1"/>
        <rFont val="Arial"/>
        <family val="2"/>
      </rPr>
      <t>u</t>
    </r>
  </si>
  <si>
    <r>
      <t>Q</t>
    </r>
    <r>
      <rPr>
        <vertAlign val="subscript"/>
        <sz val="8"/>
        <color theme="1"/>
        <rFont val="Arial"/>
        <family val="2"/>
      </rPr>
      <t>0</t>
    </r>
  </si>
  <si>
    <t xml:space="preserve"> </t>
  </si>
  <si>
    <t>V0-80</t>
  </si>
  <si>
    <t>V80-100</t>
  </si>
  <si>
    <t>V100-120</t>
  </si>
  <si>
    <t>V120-140</t>
  </si>
  <si>
    <t>V140-160</t>
  </si>
  <si>
    <t>R600-1200</t>
  </si>
  <si>
    <t>R400-600</t>
  </si>
  <si>
    <t>R300-400</t>
  </si>
  <si>
    <t>R&lt;300</t>
  </si>
  <si>
    <r>
      <t>V</t>
    </r>
    <r>
      <rPr>
        <vertAlign val="subscript"/>
        <sz val="10"/>
        <color theme="1"/>
        <rFont val="Arial"/>
        <family val="2"/>
      </rPr>
      <t>zul</t>
    </r>
  </si>
  <si>
    <t>km/h</t>
  </si>
  <si>
    <r>
      <t>Q</t>
    </r>
    <r>
      <rPr>
        <vertAlign val="subscript"/>
        <sz val="10"/>
        <color theme="1"/>
        <rFont val="Arial"/>
        <family val="2"/>
      </rPr>
      <t>VR600-1200</t>
    </r>
  </si>
  <si>
    <r>
      <t>Q</t>
    </r>
    <r>
      <rPr>
        <vertAlign val="subscript"/>
        <sz val="10"/>
        <color theme="1"/>
        <rFont val="Arial"/>
        <family val="2"/>
      </rPr>
      <t>VR400-600</t>
    </r>
  </si>
  <si>
    <r>
      <t>Q</t>
    </r>
    <r>
      <rPr>
        <vertAlign val="subscript"/>
        <sz val="10"/>
        <color theme="1"/>
        <rFont val="Arial"/>
        <family val="2"/>
      </rPr>
      <t>VR300-400</t>
    </r>
  </si>
  <si>
    <r>
      <t>Q</t>
    </r>
    <r>
      <rPr>
        <vertAlign val="subscript"/>
        <sz val="10"/>
        <color theme="1"/>
        <rFont val="Arial"/>
        <family val="2"/>
      </rPr>
      <t>VR&lt;300</t>
    </r>
  </si>
  <si>
    <r>
      <t>k.D1</t>
    </r>
    <r>
      <rPr>
        <vertAlign val="subscript"/>
        <sz val="10"/>
        <color theme="1"/>
        <rFont val="Arial"/>
        <family val="2"/>
      </rPr>
      <t>V0-80</t>
    </r>
  </si>
  <si>
    <r>
      <t>k.D1</t>
    </r>
    <r>
      <rPr>
        <vertAlign val="subscript"/>
        <sz val="10"/>
        <color theme="1"/>
        <rFont val="Arial"/>
        <family val="2"/>
      </rPr>
      <t>V80-100</t>
    </r>
  </si>
  <si>
    <r>
      <t>k.D1</t>
    </r>
    <r>
      <rPr>
        <vertAlign val="subscript"/>
        <sz val="10"/>
        <color theme="1"/>
        <rFont val="Arial"/>
        <family val="2"/>
      </rPr>
      <t>V100-120</t>
    </r>
  </si>
  <si>
    <r>
      <t>k.D1</t>
    </r>
    <r>
      <rPr>
        <vertAlign val="subscript"/>
        <sz val="10"/>
        <color theme="1"/>
        <rFont val="Arial"/>
        <family val="2"/>
      </rPr>
      <t>V120-140</t>
    </r>
  </si>
  <si>
    <r>
      <t>k.D1</t>
    </r>
    <r>
      <rPr>
        <vertAlign val="subscript"/>
        <sz val="10"/>
        <color theme="1"/>
        <rFont val="Arial"/>
        <family val="2"/>
      </rPr>
      <t>V140-160</t>
    </r>
  </si>
  <si>
    <r>
      <t>k.D1</t>
    </r>
    <r>
      <rPr>
        <vertAlign val="subscript"/>
        <sz val="10"/>
        <color theme="1"/>
        <rFont val="Arial"/>
        <family val="2"/>
      </rPr>
      <t>R600-1200</t>
    </r>
  </si>
  <si>
    <r>
      <t>k.D1</t>
    </r>
    <r>
      <rPr>
        <vertAlign val="subscript"/>
        <sz val="10"/>
        <color theme="1"/>
        <rFont val="Arial"/>
        <family val="2"/>
      </rPr>
      <t>R400-600</t>
    </r>
  </si>
  <si>
    <r>
      <t>k.D1</t>
    </r>
    <r>
      <rPr>
        <vertAlign val="subscript"/>
        <sz val="10"/>
        <color theme="1"/>
        <rFont val="Arial"/>
        <family val="2"/>
      </rPr>
      <t>R300-400</t>
    </r>
  </si>
  <si>
    <r>
      <t>k.D1</t>
    </r>
    <r>
      <rPr>
        <vertAlign val="subscript"/>
        <sz val="10"/>
        <color theme="1"/>
        <rFont val="Arial"/>
        <family val="2"/>
      </rPr>
      <t>R&lt;300</t>
    </r>
  </si>
  <si>
    <r>
      <t>k.D2</t>
    </r>
    <r>
      <rPr>
        <vertAlign val="subscript"/>
        <sz val="10"/>
        <color theme="1"/>
        <rFont val="Arial"/>
        <family val="2"/>
      </rPr>
      <t>V0-80</t>
    </r>
  </si>
  <si>
    <r>
      <t>k.D2</t>
    </r>
    <r>
      <rPr>
        <vertAlign val="subscript"/>
        <sz val="10"/>
        <color theme="1"/>
        <rFont val="Arial"/>
        <family val="2"/>
      </rPr>
      <t>V80-100</t>
    </r>
  </si>
  <si>
    <r>
      <t>k.D2</t>
    </r>
    <r>
      <rPr>
        <vertAlign val="subscript"/>
        <sz val="10"/>
        <color theme="1"/>
        <rFont val="Arial"/>
        <family val="2"/>
      </rPr>
      <t>V100-120</t>
    </r>
  </si>
  <si>
    <r>
      <t>k.D2</t>
    </r>
    <r>
      <rPr>
        <vertAlign val="subscript"/>
        <sz val="10"/>
        <color theme="1"/>
        <rFont val="Arial"/>
        <family val="2"/>
      </rPr>
      <t>V120-140</t>
    </r>
  </si>
  <si>
    <r>
      <t>k.D2</t>
    </r>
    <r>
      <rPr>
        <vertAlign val="subscript"/>
        <sz val="10"/>
        <color theme="1"/>
        <rFont val="Arial"/>
        <family val="2"/>
      </rPr>
      <t>V140-160</t>
    </r>
  </si>
  <si>
    <t>k.D3</t>
  </si>
  <si>
    <r>
      <t>k.D4.1</t>
    </r>
    <r>
      <rPr>
        <vertAlign val="subscript"/>
        <sz val="10"/>
        <color theme="1"/>
        <rFont val="Arial"/>
        <family val="2"/>
      </rPr>
      <t>R600-1200</t>
    </r>
  </si>
  <si>
    <r>
      <t>k.D4.1</t>
    </r>
    <r>
      <rPr>
        <vertAlign val="subscript"/>
        <sz val="10"/>
        <color theme="1"/>
        <rFont val="Arial"/>
        <family val="2"/>
      </rPr>
      <t>R400-600</t>
    </r>
  </si>
  <si>
    <r>
      <t>k.D4.1</t>
    </r>
    <r>
      <rPr>
        <vertAlign val="subscript"/>
        <sz val="10"/>
        <color theme="1"/>
        <rFont val="Arial"/>
        <family val="2"/>
      </rPr>
      <t>R300-400</t>
    </r>
  </si>
  <si>
    <r>
      <t>k.D4.1</t>
    </r>
    <r>
      <rPr>
        <vertAlign val="subscript"/>
        <sz val="10"/>
        <color theme="1"/>
        <rFont val="Arial"/>
        <family val="2"/>
      </rPr>
      <t>R&lt;300</t>
    </r>
  </si>
  <si>
    <r>
      <t>k.D4.2</t>
    </r>
    <r>
      <rPr>
        <vertAlign val="subscript"/>
        <sz val="10"/>
        <color theme="1"/>
        <rFont val="Arial"/>
        <family val="2"/>
      </rPr>
      <t>R400-600</t>
    </r>
  </si>
  <si>
    <r>
      <t>k.D4.2</t>
    </r>
    <r>
      <rPr>
        <vertAlign val="subscript"/>
        <sz val="10"/>
        <color theme="1"/>
        <rFont val="Arial"/>
        <family val="2"/>
      </rPr>
      <t>R300-400</t>
    </r>
  </si>
  <si>
    <r>
      <t>k.D4.2</t>
    </r>
    <r>
      <rPr>
        <vertAlign val="subscript"/>
        <sz val="10"/>
        <color theme="1"/>
        <rFont val="Arial"/>
        <family val="2"/>
      </rPr>
      <t>R&lt;300</t>
    </r>
  </si>
  <si>
    <t>k.D5</t>
  </si>
  <si>
    <r>
      <t xml:space="preserve"> a</t>
    </r>
    <r>
      <rPr>
        <vertAlign val="subscript"/>
        <sz val="8"/>
        <color theme="1"/>
        <rFont val="Arial"/>
        <family val="2"/>
      </rPr>
      <t xml:space="preserve">Q * </t>
    </r>
    <r>
      <rPr>
        <sz val="8"/>
        <color theme="1"/>
        <rFont val="Arial"/>
        <family val="2"/>
      </rPr>
      <t>75 + b</t>
    </r>
    <r>
      <rPr>
        <vertAlign val="subscript"/>
        <sz val="8"/>
        <color theme="1"/>
        <rFont val="Arial"/>
        <family val="2"/>
      </rPr>
      <t>Q</t>
    </r>
  </si>
  <si>
    <r>
      <t xml:space="preserve"> a</t>
    </r>
    <r>
      <rPr>
        <vertAlign val="subscript"/>
        <sz val="8"/>
        <color theme="1"/>
        <rFont val="Arial"/>
        <family val="2"/>
      </rPr>
      <t xml:space="preserve">Q * </t>
    </r>
    <r>
      <rPr>
        <sz val="8"/>
        <color theme="1"/>
        <rFont val="Arial"/>
        <family val="2"/>
      </rPr>
      <t>90 + b</t>
    </r>
    <r>
      <rPr>
        <vertAlign val="subscript"/>
        <sz val="8"/>
        <color theme="1"/>
        <rFont val="Arial"/>
        <family val="2"/>
      </rPr>
      <t>Q</t>
    </r>
  </si>
  <si>
    <r>
      <t xml:space="preserve"> a</t>
    </r>
    <r>
      <rPr>
        <vertAlign val="subscript"/>
        <sz val="8"/>
        <color theme="1"/>
        <rFont val="Arial"/>
        <family val="2"/>
      </rPr>
      <t xml:space="preserve">Q * </t>
    </r>
    <r>
      <rPr>
        <sz val="8"/>
        <color theme="1"/>
        <rFont val="Arial"/>
        <family val="2"/>
      </rPr>
      <t>110 + b</t>
    </r>
    <r>
      <rPr>
        <vertAlign val="subscript"/>
        <sz val="8"/>
        <color theme="1"/>
        <rFont val="Arial"/>
        <family val="2"/>
      </rPr>
      <t>Q</t>
    </r>
  </si>
  <si>
    <r>
      <t xml:space="preserve"> a</t>
    </r>
    <r>
      <rPr>
        <vertAlign val="subscript"/>
        <sz val="8"/>
        <color theme="1"/>
        <rFont val="Arial"/>
        <family val="2"/>
      </rPr>
      <t xml:space="preserve">Q * </t>
    </r>
    <r>
      <rPr>
        <sz val="8"/>
        <color theme="1"/>
        <rFont val="Arial"/>
        <family val="2"/>
      </rPr>
      <t>130 + b</t>
    </r>
    <r>
      <rPr>
        <vertAlign val="subscript"/>
        <sz val="8"/>
        <color theme="1"/>
        <rFont val="Arial"/>
        <family val="2"/>
      </rPr>
      <t>Q</t>
    </r>
  </si>
  <si>
    <r>
      <t xml:space="preserve"> a</t>
    </r>
    <r>
      <rPr>
        <vertAlign val="subscript"/>
        <sz val="8"/>
        <color theme="1"/>
        <rFont val="Arial"/>
        <family val="2"/>
      </rPr>
      <t xml:space="preserve">Q * </t>
    </r>
    <r>
      <rPr>
        <sz val="8"/>
        <color theme="1"/>
        <rFont val="Arial"/>
        <family val="2"/>
      </rPr>
      <t>150 + b</t>
    </r>
    <r>
      <rPr>
        <vertAlign val="subscript"/>
        <sz val="8"/>
        <color theme="1"/>
        <rFont val="Arial"/>
        <family val="2"/>
      </rPr>
      <t>Q</t>
    </r>
  </si>
  <si>
    <r>
      <t xml:space="preserve"> a</t>
    </r>
    <r>
      <rPr>
        <vertAlign val="subscript"/>
        <sz val="8"/>
        <color theme="1"/>
        <rFont val="Arial"/>
        <family val="2"/>
      </rPr>
      <t xml:space="preserve">Q * </t>
    </r>
    <r>
      <rPr>
        <sz val="8"/>
        <color theme="1"/>
        <rFont val="Arial"/>
        <family val="2"/>
      </rPr>
      <t>200 + b</t>
    </r>
    <r>
      <rPr>
        <vertAlign val="subscript"/>
        <sz val="8"/>
        <color theme="1"/>
        <rFont val="Arial"/>
        <family val="2"/>
      </rPr>
      <t>Q</t>
    </r>
  </si>
  <si>
    <r>
      <t xml:space="preserve"> a</t>
    </r>
    <r>
      <rPr>
        <vertAlign val="subscript"/>
        <sz val="8"/>
        <color theme="1"/>
        <rFont val="Arial"/>
        <family val="2"/>
      </rPr>
      <t xml:space="preserve">Q * </t>
    </r>
    <r>
      <rPr>
        <sz val="8"/>
        <color theme="1"/>
        <rFont val="Arial"/>
        <family val="2"/>
      </rPr>
      <t>V</t>
    </r>
    <r>
      <rPr>
        <vertAlign val="subscript"/>
        <sz val="8"/>
        <color theme="1"/>
        <rFont val="Arial"/>
        <family val="2"/>
      </rPr>
      <t>R600-1200</t>
    </r>
    <r>
      <rPr>
        <sz val="8"/>
        <color theme="1"/>
        <rFont val="Arial"/>
        <family val="2"/>
      </rPr>
      <t xml:space="preserve"> + b</t>
    </r>
    <r>
      <rPr>
        <vertAlign val="subscript"/>
        <sz val="8"/>
        <color theme="1"/>
        <rFont val="Arial"/>
        <family val="2"/>
      </rPr>
      <t xml:space="preserve">Q  </t>
    </r>
    <r>
      <rPr>
        <sz val="8"/>
        <color theme="1"/>
        <rFont val="Arial"/>
        <family val="2"/>
      </rPr>
      <t xml:space="preserve"> bzw.  a</t>
    </r>
    <r>
      <rPr>
        <vertAlign val="subscript"/>
        <sz val="8"/>
        <color theme="1"/>
        <rFont val="Arial"/>
        <family val="2"/>
      </rPr>
      <t xml:space="preserve">Q * </t>
    </r>
    <r>
      <rPr>
        <sz val="8"/>
        <color theme="1"/>
        <rFont val="Arial"/>
        <family val="2"/>
      </rPr>
      <t>V</t>
    </r>
    <r>
      <rPr>
        <vertAlign val="subscript"/>
        <sz val="8"/>
        <color theme="1"/>
        <rFont val="Arial"/>
        <family val="2"/>
      </rPr>
      <t>zul</t>
    </r>
    <r>
      <rPr>
        <sz val="8"/>
        <color theme="1"/>
        <rFont val="Arial"/>
        <family val="2"/>
      </rPr>
      <t xml:space="preserve"> + b</t>
    </r>
    <r>
      <rPr>
        <vertAlign val="subscript"/>
        <sz val="8"/>
        <color theme="1"/>
        <rFont val="Arial"/>
        <family val="2"/>
      </rPr>
      <t>Q</t>
    </r>
  </si>
  <si>
    <r>
      <t>D1</t>
    </r>
    <r>
      <rPr>
        <vertAlign val="subscript"/>
        <sz val="10"/>
        <color theme="1"/>
        <rFont val="Arial"/>
        <family val="2"/>
      </rPr>
      <t>V&gt;160</t>
    </r>
  </si>
  <si>
    <r>
      <t>D2</t>
    </r>
    <r>
      <rPr>
        <vertAlign val="subscript"/>
        <sz val="10"/>
        <color theme="1"/>
        <rFont val="Arial"/>
        <family val="2"/>
      </rPr>
      <t>V&gt;160</t>
    </r>
  </si>
  <si>
    <r>
      <t>k.D1</t>
    </r>
    <r>
      <rPr>
        <vertAlign val="subscript"/>
        <sz val="10"/>
        <color theme="1"/>
        <rFont val="Arial"/>
        <family val="2"/>
      </rPr>
      <t>V&gt;160</t>
    </r>
  </si>
  <si>
    <r>
      <t>k.D2</t>
    </r>
    <r>
      <rPr>
        <vertAlign val="subscript"/>
        <sz val="10"/>
        <color theme="1"/>
        <rFont val="Arial"/>
        <family val="2"/>
      </rPr>
      <t>V&gt;160</t>
    </r>
  </si>
  <si>
    <t>V&gt;160</t>
  </si>
  <si>
    <t>R</t>
  </si>
  <si>
    <r>
      <t xml:space="preserve"> a</t>
    </r>
    <r>
      <rPr>
        <vertAlign val="subscript"/>
        <sz val="8"/>
        <color theme="1"/>
        <rFont val="Arial"/>
        <family val="2"/>
      </rPr>
      <t xml:space="preserve">Q * </t>
    </r>
    <r>
      <rPr>
        <sz val="8"/>
        <color theme="1"/>
        <rFont val="Arial"/>
        <family val="2"/>
      </rPr>
      <t>V</t>
    </r>
    <r>
      <rPr>
        <vertAlign val="subscript"/>
        <sz val="8"/>
        <color theme="1"/>
        <rFont val="Arial"/>
        <family val="2"/>
      </rPr>
      <t>R400-600</t>
    </r>
    <r>
      <rPr>
        <sz val="8"/>
        <color theme="1"/>
        <rFont val="Arial"/>
        <family val="2"/>
      </rPr>
      <t xml:space="preserve"> + b</t>
    </r>
    <r>
      <rPr>
        <vertAlign val="subscript"/>
        <sz val="8"/>
        <color theme="1"/>
        <rFont val="Arial"/>
        <family val="2"/>
      </rPr>
      <t>Q</t>
    </r>
    <r>
      <rPr>
        <sz val="8"/>
        <color theme="1"/>
        <rFont val="Arial"/>
        <family val="2"/>
      </rPr>
      <t xml:space="preserve">    bzw.  a</t>
    </r>
    <r>
      <rPr>
        <vertAlign val="subscript"/>
        <sz val="8"/>
        <color theme="1"/>
        <rFont val="Arial"/>
        <family val="2"/>
      </rPr>
      <t xml:space="preserve">Q * </t>
    </r>
    <r>
      <rPr>
        <sz val="8"/>
        <color theme="1"/>
        <rFont val="Arial"/>
        <family val="2"/>
      </rPr>
      <t>V</t>
    </r>
    <r>
      <rPr>
        <vertAlign val="subscript"/>
        <sz val="8"/>
        <color theme="1"/>
        <rFont val="Arial"/>
        <family val="2"/>
      </rPr>
      <t>zul</t>
    </r>
    <r>
      <rPr>
        <sz val="8"/>
        <color theme="1"/>
        <rFont val="Arial"/>
        <family val="2"/>
      </rPr>
      <t xml:space="preserve"> + b</t>
    </r>
    <r>
      <rPr>
        <vertAlign val="subscript"/>
        <sz val="8"/>
        <color theme="1"/>
        <rFont val="Arial"/>
        <family val="2"/>
      </rPr>
      <t>Q</t>
    </r>
  </si>
  <si>
    <r>
      <t xml:space="preserve"> a</t>
    </r>
    <r>
      <rPr>
        <vertAlign val="subscript"/>
        <sz val="8"/>
        <color theme="1"/>
        <rFont val="Arial"/>
        <family val="2"/>
      </rPr>
      <t xml:space="preserve">Q * </t>
    </r>
    <r>
      <rPr>
        <sz val="8"/>
        <color theme="1"/>
        <rFont val="Arial"/>
        <family val="2"/>
      </rPr>
      <t>V</t>
    </r>
    <r>
      <rPr>
        <vertAlign val="subscript"/>
        <sz val="8"/>
        <color theme="1"/>
        <rFont val="Arial"/>
        <family val="2"/>
      </rPr>
      <t>R300-400</t>
    </r>
    <r>
      <rPr>
        <sz val="8"/>
        <color theme="1"/>
        <rFont val="Arial"/>
        <family val="2"/>
      </rPr>
      <t xml:space="preserve"> + b</t>
    </r>
    <r>
      <rPr>
        <vertAlign val="subscript"/>
        <sz val="8"/>
        <color theme="1"/>
        <rFont val="Arial"/>
        <family val="2"/>
      </rPr>
      <t>Q</t>
    </r>
    <r>
      <rPr>
        <sz val="8"/>
        <color theme="1"/>
        <rFont val="Arial"/>
        <family val="2"/>
      </rPr>
      <t xml:space="preserve">    bzw.  a</t>
    </r>
    <r>
      <rPr>
        <vertAlign val="subscript"/>
        <sz val="8"/>
        <color theme="1"/>
        <rFont val="Arial"/>
        <family val="2"/>
      </rPr>
      <t xml:space="preserve">Q * </t>
    </r>
    <r>
      <rPr>
        <sz val="8"/>
        <color theme="1"/>
        <rFont val="Arial"/>
        <family val="2"/>
      </rPr>
      <t>V</t>
    </r>
    <r>
      <rPr>
        <vertAlign val="subscript"/>
        <sz val="8"/>
        <color theme="1"/>
        <rFont val="Arial"/>
        <family val="2"/>
      </rPr>
      <t>zul</t>
    </r>
    <r>
      <rPr>
        <sz val="8"/>
        <color theme="1"/>
        <rFont val="Arial"/>
        <family val="2"/>
      </rPr>
      <t xml:space="preserve"> + b</t>
    </r>
    <r>
      <rPr>
        <vertAlign val="subscript"/>
        <sz val="8"/>
        <color theme="1"/>
        <rFont val="Arial"/>
        <family val="2"/>
      </rPr>
      <t>Q</t>
    </r>
  </si>
  <si>
    <r>
      <t xml:space="preserve"> a</t>
    </r>
    <r>
      <rPr>
        <vertAlign val="subscript"/>
        <sz val="8"/>
        <color theme="1"/>
        <rFont val="Arial"/>
        <family val="2"/>
      </rPr>
      <t xml:space="preserve">Q * </t>
    </r>
    <r>
      <rPr>
        <sz val="8"/>
        <color theme="1"/>
        <rFont val="Arial"/>
        <family val="2"/>
      </rPr>
      <t>V</t>
    </r>
    <r>
      <rPr>
        <vertAlign val="subscript"/>
        <sz val="8"/>
        <color theme="1"/>
        <rFont val="Arial"/>
        <family val="2"/>
      </rPr>
      <t>R&lt;300</t>
    </r>
    <r>
      <rPr>
        <sz val="8"/>
        <color theme="1"/>
        <rFont val="Arial"/>
        <family val="2"/>
      </rPr>
      <t xml:space="preserve"> + b</t>
    </r>
    <r>
      <rPr>
        <vertAlign val="subscript"/>
        <sz val="8"/>
        <color theme="1"/>
        <rFont val="Arial"/>
        <family val="2"/>
      </rPr>
      <t xml:space="preserve">Q          </t>
    </r>
    <r>
      <rPr>
        <sz val="8"/>
        <color theme="1"/>
        <rFont val="Arial"/>
        <family val="2"/>
      </rPr>
      <t>bzw.  a</t>
    </r>
    <r>
      <rPr>
        <vertAlign val="subscript"/>
        <sz val="8"/>
        <color theme="1"/>
        <rFont val="Arial"/>
        <family val="2"/>
      </rPr>
      <t xml:space="preserve">Q * </t>
    </r>
    <r>
      <rPr>
        <sz val="8"/>
        <color theme="1"/>
        <rFont val="Arial"/>
        <family val="2"/>
      </rPr>
      <t>V</t>
    </r>
    <r>
      <rPr>
        <vertAlign val="subscript"/>
        <sz val="8"/>
        <color theme="1"/>
        <rFont val="Arial"/>
        <family val="2"/>
      </rPr>
      <t>zul</t>
    </r>
    <r>
      <rPr>
        <sz val="8"/>
        <color theme="1"/>
        <rFont val="Arial"/>
        <family val="2"/>
      </rPr>
      <t xml:space="preserve"> + b</t>
    </r>
    <r>
      <rPr>
        <vertAlign val="subscript"/>
        <sz val="8"/>
        <color theme="1"/>
        <rFont val="Arial"/>
        <family val="2"/>
      </rPr>
      <t>Q</t>
    </r>
  </si>
  <si>
    <r>
      <t>A</t>
    </r>
    <r>
      <rPr>
        <vertAlign val="subscript"/>
        <sz val="10"/>
        <color theme="1"/>
        <rFont val="Arial"/>
        <family val="2"/>
      </rPr>
      <t>Rad,eff</t>
    </r>
  </si>
  <si>
    <r>
      <t>f</t>
    </r>
    <r>
      <rPr>
        <vertAlign val="subscript"/>
        <sz val="8"/>
        <color theme="1"/>
        <rFont val="Arial"/>
        <family val="2"/>
      </rPr>
      <t>u</t>
    </r>
    <r>
      <rPr>
        <sz val="8"/>
        <color theme="1"/>
        <rFont val="Arial"/>
        <family val="2"/>
      </rPr>
      <t>W</t>
    </r>
    <r>
      <rPr>
        <vertAlign val="subscript"/>
        <sz val="8"/>
        <color theme="1"/>
        <rFont val="Arial"/>
        <family val="2"/>
      </rPr>
      <t>b</t>
    </r>
    <r>
      <rPr>
        <sz val="8"/>
        <color theme="1"/>
        <rFont val="Arial"/>
        <family val="2"/>
      </rPr>
      <t xml:space="preserve">Σm  </t>
    </r>
    <r>
      <rPr>
        <vertAlign val="subscript"/>
        <sz val="8"/>
        <color theme="1"/>
        <rFont val="Arial"/>
        <family val="2"/>
      </rPr>
      <t xml:space="preserve">* </t>
    </r>
    <r>
      <rPr>
        <sz val="8"/>
        <color theme="1"/>
        <rFont val="Arial"/>
        <family val="2"/>
      </rPr>
      <t xml:space="preserve"> f</t>
    </r>
    <r>
      <rPr>
        <vertAlign val="subscript"/>
        <sz val="8"/>
        <color theme="1"/>
        <rFont val="Arial"/>
        <family val="2"/>
      </rPr>
      <t>u</t>
    </r>
    <r>
      <rPr>
        <sz val="8"/>
        <color theme="1"/>
        <rFont val="Arial"/>
        <family val="2"/>
      </rPr>
      <t>W</t>
    </r>
    <r>
      <rPr>
        <vertAlign val="subscript"/>
        <sz val="8"/>
        <color theme="1"/>
        <rFont val="Arial"/>
        <family val="2"/>
      </rPr>
      <t>b</t>
    </r>
    <r>
      <rPr>
        <sz val="8"/>
        <color theme="1"/>
        <rFont val="Arial"/>
        <family val="2"/>
      </rPr>
      <t>C</t>
    </r>
    <r>
      <rPr>
        <vertAlign val="subscript"/>
        <sz val="8"/>
        <color theme="1"/>
        <rFont val="Arial"/>
        <family val="2"/>
      </rPr>
      <t>x</t>
    </r>
    <r>
      <rPr>
        <sz val="8"/>
        <color theme="1"/>
        <rFont val="Arial"/>
        <family val="2"/>
      </rPr>
      <t xml:space="preserve"> 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 f</t>
    </r>
    <r>
      <rPr>
        <vertAlign val="subscript"/>
        <sz val="8"/>
        <color theme="1"/>
        <rFont val="Arial"/>
        <family val="2"/>
      </rPr>
      <t>u</t>
    </r>
    <r>
      <rPr>
        <sz val="8"/>
        <color theme="1"/>
        <rFont val="Arial"/>
        <family val="2"/>
      </rPr>
      <t>W</t>
    </r>
    <r>
      <rPr>
        <vertAlign val="subscript"/>
        <sz val="8"/>
        <color theme="1"/>
        <rFont val="Arial"/>
        <family val="2"/>
      </rPr>
      <t>b</t>
    </r>
    <r>
      <rPr>
        <sz val="8"/>
        <color theme="1"/>
        <rFont val="Arial"/>
        <family val="2"/>
      </rPr>
      <t>μ</t>
    </r>
  </si>
  <si>
    <r>
      <t>n</t>
    </r>
    <r>
      <rPr>
        <vertAlign val="subscript"/>
        <sz val="10"/>
        <color theme="1"/>
        <rFont val="Arial"/>
        <family val="2"/>
      </rPr>
      <t>RS</t>
    </r>
  </si>
  <si>
    <r>
      <t>n</t>
    </r>
    <r>
      <rPr>
        <vertAlign val="subscript"/>
        <sz val="10"/>
        <color theme="1"/>
        <rFont val="Arial"/>
        <family val="2"/>
      </rPr>
      <t>FW</t>
    </r>
  </si>
  <si>
    <r>
      <t xml:space="preserve"> n</t>
    </r>
    <r>
      <rPr>
        <vertAlign val="subscript"/>
        <sz val="8"/>
        <color theme="1"/>
        <rFont val="Arial"/>
        <family val="2"/>
      </rPr>
      <t>RS</t>
    </r>
    <r>
      <rPr>
        <sz val="8"/>
        <color theme="1"/>
        <rFont val="Arial"/>
        <family val="2"/>
      </rPr>
      <t xml:space="preserve">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( Q</t>
    </r>
    <r>
      <rPr>
        <vertAlign val="subscript"/>
        <sz val="8"/>
        <color theme="1"/>
        <rFont val="Arial"/>
        <family val="2"/>
      </rPr>
      <t>V75</t>
    </r>
    <r>
      <rPr>
        <sz val="8"/>
        <color theme="1"/>
        <rFont val="Arial"/>
        <family val="2"/>
      </rPr>
      <t>)</t>
    </r>
    <r>
      <rPr>
        <vertAlign val="superscript"/>
        <sz val="8"/>
        <color theme="1"/>
        <rFont val="Arial"/>
        <family val="2"/>
      </rPr>
      <t>3</t>
    </r>
  </si>
  <si>
    <r>
      <t xml:space="preserve"> n</t>
    </r>
    <r>
      <rPr>
        <vertAlign val="subscript"/>
        <sz val="8"/>
        <color theme="1"/>
        <rFont val="Arial"/>
        <family val="2"/>
      </rPr>
      <t>RS</t>
    </r>
    <r>
      <rPr>
        <sz val="8"/>
        <color theme="1"/>
        <rFont val="Arial"/>
        <family val="2"/>
      </rPr>
      <t xml:space="preserve">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( Q</t>
    </r>
    <r>
      <rPr>
        <vertAlign val="subscript"/>
        <sz val="8"/>
        <color theme="1"/>
        <rFont val="Arial"/>
        <family val="2"/>
      </rPr>
      <t>V90</t>
    </r>
    <r>
      <rPr>
        <sz val="8"/>
        <color theme="1"/>
        <rFont val="Arial"/>
        <family val="2"/>
      </rPr>
      <t>)</t>
    </r>
    <r>
      <rPr>
        <vertAlign val="superscript"/>
        <sz val="8"/>
        <color theme="1"/>
        <rFont val="Arial"/>
        <family val="2"/>
      </rPr>
      <t>3</t>
    </r>
  </si>
  <si>
    <r>
      <t xml:space="preserve"> n</t>
    </r>
    <r>
      <rPr>
        <vertAlign val="subscript"/>
        <sz val="8"/>
        <color theme="1"/>
        <rFont val="Arial"/>
        <family val="2"/>
      </rPr>
      <t>RS</t>
    </r>
    <r>
      <rPr>
        <sz val="8"/>
        <color theme="1"/>
        <rFont val="Arial"/>
        <family val="2"/>
      </rPr>
      <t xml:space="preserve">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( Q</t>
    </r>
    <r>
      <rPr>
        <vertAlign val="subscript"/>
        <sz val="8"/>
        <color theme="1"/>
        <rFont val="Arial"/>
        <family val="2"/>
      </rPr>
      <t>V110</t>
    </r>
    <r>
      <rPr>
        <sz val="8"/>
        <color theme="1"/>
        <rFont val="Arial"/>
        <family val="2"/>
      </rPr>
      <t>)</t>
    </r>
    <r>
      <rPr>
        <vertAlign val="superscript"/>
        <sz val="8"/>
        <color theme="1"/>
        <rFont val="Arial"/>
        <family val="2"/>
      </rPr>
      <t>3</t>
    </r>
  </si>
  <si>
    <r>
      <t xml:space="preserve"> n</t>
    </r>
    <r>
      <rPr>
        <vertAlign val="subscript"/>
        <sz val="8"/>
        <color theme="1"/>
        <rFont val="Arial"/>
        <family val="2"/>
      </rPr>
      <t>RS</t>
    </r>
    <r>
      <rPr>
        <sz val="8"/>
        <color theme="1"/>
        <rFont val="Arial"/>
        <family val="2"/>
      </rPr>
      <t xml:space="preserve">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( Q</t>
    </r>
    <r>
      <rPr>
        <vertAlign val="subscript"/>
        <sz val="8"/>
        <color theme="1"/>
        <rFont val="Arial"/>
        <family val="2"/>
      </rPr>
      <t>V130</t>
    </r>
    <r>
      <rPr>
        <sz val="8"/>
        <color theme="1"/>
        <rFont val="Arial"/>
        <family val="2"/>
      </rPr>
      <t>)</t>
    </r>
    <r>
      <rPr>
        <vertAlign val="superscript"/>
        <sz val="8"/>
        <color theme="1"/>
        <rFont val="Arial"/>
        <family val="2"/>
      </rPr>
      <t>3</t>
    </r>
  </si>
  <si>
    <r>
      <t xml:space="preserve"> n</t>
    </r>
    <r>
      <rPr>
        <vertAlign val="subscript"/>
        <sz val="8"/>
        <color theme="1"/>
        <rFont val="Arial"/>
        <family val="2"/>
      </rPr>
      <t>RS</t>
    </r>
    <r>
      <rPr>
        <sz val="8"/>
        <color theme="1"/>
        <rFont val="Arial"/>
        <family val="2"/>
      </rPr>
      <t xml:space="preserve">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( Q</t>
    </r>
    <r>
      <rPr>
        <vertAlign val="subscript"/>
        <sz val="8"/>
        <color theme="1"/>
        <rFont val="Arial"/>
        <family val="2"/>
      </rPr>
      <t>V150</t>
    </r>
    <r>
      <rPr>
        <sz val="8"/>
        <color theme="1"/>
        <rFont val="Arial"/>
        <family val="2"/>
      </rPr>
      <t>)</t>
    </r>
    <r>
      <rPr>
        <vertAlign val="superscript"/>
        <sz val="8"/>
        <color theme="1"/>
        <rFont val="Arial"/>
        <family val="2"/>
      </rPr>
      <t>3</t>
    </r>
  </si>
  <si>
    <r>
      <t xml:space="preserve"> n</t>
    </r>
    <r>
      <rPr>
        <vertAlign val="subscript"/>
        <sz val="8"/>
        <color theme="1"/>
        <rFont val="Arial"/>
        <family val="2"/>
      </rPr>
      <t>RS</t>
    </r>
    <r>
      <rPr>
        <sz val="8"/>
        <color theme="1"/>
        <rFont val="Arial"/>
        <family val="2"/>
      </rPr>
      <t xml:space="preserve">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( Q</t>
    </r>
    <r>
      <rPr>
        <vertAlign val="subscript"/>
        <sz val="8"/>
        <color theme="1"/>
        <rFont val="Arial"/>
        <family val="2"/>
      </rPr>
      <t>V200</t>
    </r>
    <r>
      <rPr>
        <sz val="8"/>
        <color theme="1"/>
        <rFont val="Arial"/>
        <family val="2"/>
      </rPr>
      <t>)</t>
    </r>
    <r>
      <rPr>
        <vertAlign val="superscript"/>
        <sz val="8"/>
        <color theme="1"/>
        <rFont val="Arial"/>
        <family val="2"/>
      </rPr>
      <t>3</t>
    </r>
  </si>
  <si>
    <r>
      <t xml:space="preserve"> n</t>
    </r>
    <r>
      <rPr>
        <vertAlign val="subscript"/>
        <sz val="8"/>
        <color theme="1"/>
        <rFont val="Arial"/>
        <family val="2"/>
      </rPr>
      <t>RS</t>
    </r>
    <r>
      <rPr>
        <sz val="8"/>
        <color theme="1"/>
        <rFont val="Arial"/>
        <family val="2"/>
      </rPr>
      <t xml:space="preserve">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( Q</t>
    </r>
    <r>
      <rPr>
        <vertAlign val="subscript"/>
        <sz val="8"/>
        <color theme="1"/>
        <rFont val="Arial"/>
        <family val="2"/>
      </rPr>
      <t>VR600-1200</t>
    </r>
    <r>
      <rPr>
        <sz val="8"/>
        <color theme="1"/>
        <rFont val="Arial"/>
        <family val="2"/>
      </rPr>
      <t>)</t>
    </r>
    <r>
      <rPr>
        <vertAlign val="superscript"/>
        <sz val="8"/>
        <color theme="1"/>
        <rFont val="Arial"/>
        <family val="2"/>
      </rPr>
      <t>3</t>
    </r>
  </si>
  <si>
    <r>
      <t xml:space="preserve"> n</t>
    </r>
    <r>
      <rPr>
        <vertAlign val="subscript"/>
        <sz val="8"/>
        <color theme="1"/>
        <rFont val="Arial"/>
        <family val="2"/>
      </rPr>
      <t>RS</t>
    </r>
    <r>
      <rPr>
        <sz val="8"/>
        <color theme="1"/>
        <rFont val="Arial"/>
        <family val="2"/>
      </rPr>
      <t xml:space="preserve">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( Q</t>
    </r>
    <r>
      <rPr>
        <vertAlign val="subscript"/>
        <sz val="8"/>
        <color theme="1"/>
        <rFont val="Arial"/>
        <family val="2"/>
      </rPr>
      <t>VR400-600</t>
    </r>
    <r>
      <rPr>
        <sz val="8"/>
        <color theme="1"/>
        <rFont val="Arial"/>
        <family val="2"/>
      </rPr>
      <t>)</t>
    </r>
    <r>
      <rPr>
        <vertAlign val="superscript"/>
        <sz val="8"/>
        <color theme="1"/>
        <rFont val="Arial"/>
        <family val="2"/>
      </rPr>
      <t>3</t>
    </r>
  </si>
  <si>
    <r>
      <t xml:space="preserve"> n</t>
    </r>
    <r>
      <rPr>
        <vertAlign val="subscript"/>
        <sz val="8"/>
        <color theme="1"/>
        <rFont val="Arial"/>
        <family val="2"/>
      </rPr>
      <t>RS</t>
    </r>
    <r>
      <rPr>
        <sz val="8"/>
        <color theme="1"/>
        <rFont val="Arial"/>
        <family val="2"/>
      </rPr>
      <t xml:space="preserve">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( Q</t>
    </r>
    <r>
      <rPr>
        <vertAlign val="subscript"/>
        <sz val="8"/>
        <color theme="1"/>
        <rFont val="Arial"/>
        <family val="2"/>
      </rPr>
      <t>VR300-400</t>
    </r>
    <r>
      <rPr>
        <sz val="8"/>
        <color theme="1"/>
        <rFont val="Arial"/>
        <family val="2"/>
      </rPr>
      <t>)</t>
    </r>
    <r>
      <rPr>
        <vertAlign val="superscript"/>
        <sz val="8"/>
        <color theme="1"/>
        <rFont val="Arial"/>
        <family val="2"/>
      </rPr>
      <t>3</t>
    </r>
  </si>
  <si>
    <r>
      <t xml:space="preserve"> n</t>
    </r>
    <r>
      <rPr>
        <vertAlign val="subscript"/>
        <sz val="8"/>
        <color theme="1"/>
        <rFont val="Arial"/>
        <family val="2"/>
      </rPr>
      <t>RS</t>
    </r>
    <r>
      <rPr>
        <sz val="8"/>
        <color theme="1"/>
        <rFont val="Arial"/>
        <family val="2"/>
      </rPr>
      <t xml:space="preserve">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( Q</t>
    </r>
    <r>
      <rPr>
        <vertAlign val="subscript"/>
        <sz val="8"/>
        <color theme="1"/>
        <rFont val="Arial"/>
        <family val="2"/>
      </rPr>
      <t>VR&lt;300</t>
    </r>
    <r>
      <rPr>
        <sz val="8"/>
        <color theme="1"/>
        <rFont val="Arial"/>
        <family val="2"/>
      </rPr>
      <t>)</t>
    </r>
    <r>
      <rPr>
        <vertAlign val="superscript"/>
        <sz val="8"/>
        <color theme="1"/>
        <rFont val="Arial"/>
        <family val="2"/>
      </rPr>
      <t>3</t>
    </r>
  </si>
  <si>
    <r>
      <t xml:space="preserve"> n</t>
    </r>
    <r>
      <rPr>
        <vertAlign val="subscript"/>
        <sz val="8"/>
        <color theme="1"/>
        <rFont val="Arial"/>
        <family val="2"/>
      </rPr>
      <t>RS</t>
    </r>
    <r>
      <rPr>
        <sz val="8"/>
        <color theme="1"/>
        <rFont val="Arial"/>
        <family val="2"/>
      </rPr>
      <t xml:space="preserve">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( Q</t>
    </r>
    <r>
      <rPr>
        <vertAlign val="subscript"/>
        <sz val="8"/>
        <color theme="1"/>
        <rFont val="Arial"/>
        <family val="2"/>
      </rPr>
      <t>V75</t>
    </r>
    <r>
      <rPr>
        <sz val="8"/>
        <color theme="1"/>
        <rFont val="Arial"/>
        <family val="2"/>
      </rPr>
      <t>)</t>
    </r>
    <r>
      <rPr>
        <vertAlign val="superscript"/>
        <sz val="8"/>
        <color theme="1"/>
        <rFont val="Arial"/>
        <family val="2"/>
      </rPr>
      <t>1.2</t>
    </r>
  </si>
  <si>
    <r>
      <t xml:space="preserve"> n</t>
    </r>
    <r>
      <rPr>
        <vertAlign val="subscript"/>
        <sz val="8"/>
        <color theme="1"/>
        <rFont val="Arial"/>
        <family val="2"/>
      </rPr>
      <t>RS</t>
    </r>
    <r>
      <rPr>
        <sz val="8"/>
        <color theme="1"/>
        <rFont val="Arial"/>
        <family val="2"/>
      </rPr>
      <t xml:space="preserve">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( Q</t>
    </r>
    <r>
      <rPr>
        <vertAlign val="subscript"/>
        <sz val="8"/>
        <color theme="1"/>
        <rFont val="Arial"/>
        <family val="2"/>
      </rPr>
      <t>V90</t>
    </r>
    <r>
      <rPr>
        <sz val="8"/>
        <color theme="1"/>
        <rFont val="Arial"/>
        <family val="2"/>
      </rPr>
      <t>)</t>
    </r>
    <r>
      <rPr>
        <vertAlign val="superscript"/>
        <sz val="8"/>
        <color theme="1"/>
        <rFont val="Arial"/>
        <family val="2"/>
      </rPr>
      <t>1.2</t>
    </r>
  </si>
  <si>
    <r>
      <t xml:space="preserve"> n</t>
    </r>
    <r>
      <rPr>
        <vertAlign val="subscript"/>
        <sz val="8"/>
        <color theme="1"/>
        <rFont val="Arial"/>
        <family val="2"/>
      </rPr>
      <t>RS</t>
    </r>
    <r>
      <rPr>
        <sz val="8"/>
        <color theme="1"/>
        <rFont val="Arial"/>
        <family val="2"/>
      </rPr>
      <t xml:space="preserve">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( Q</t>
    </r>
    <r>
      <rPr>
        <vertAlign val="subscript"/>
        <sz val="8"/>
        <color theme="1"/>
        <rFont val="Arial"/>
        <family val="2"/>
      </rPr>
      <t>V110</t>
    </r>
    <r>
      <rPr>
        <sz val="8"/>
        <color theme="1"/>
        <rFont val="Arial"/>
        <family val="2"/>
      </rPr>
      <t>)</t>
    </r>
    <r>
      <rPr>
        <vertAlign val="superscript"/>
        <sz val="8"/>
        <color theme="1"/>
        <rFont val="Arial"/>
        <family val="2"/>
      </rPr>
      <t>1.2</t>
    </r>
  </si>
  <si>
    <r>
      <t xml:space="preserve"> n</t>
    </r>
    <r>
      <rPr>
        <vertAlign val="subscript"/>
        <sz val="8"/>
        <color theme="1"/>
        <rFont val="Arial"/>
        <family val="2"/>
      </rPr>
      <t>RS</t>
    </r>
    <r>
      <rPr>
        <sz val="8"/>
        <color theme="1"/>
        <rFont val="Arial"/>
        <family val="2"/>
      </rPr>
      <t xml:space="preserve">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( Q</t>
    </r>
    <r>
      <rPr>
        <vertAlign val="subscript"/>
        <sz val="8"/>
        <color theme="1"/>
        <rFont val="Arial"/>
        <family val="2"/>
      </rPr>
      <t>V130</t>
    </r>
    <r>
      <rPr>
        <sz val="8"/>
        <color theme="1"/>
        <rFont val="Arial"/>
        <family val="2"/>
      </rPr>
      <t>)</t>
    </r>
    <r>
      <rPr>
        <vertAlign val="superscript"/>
        <sz val="8"/>
        <color theme="1"/>
        <rFont val="Arial"/>
        <family val="2"/>
      </rPr>
      <t>1.2</t>
    </r>
  </si>
  <si>
    <r>
      <t xml:space="preserve"> n</t>
    </r>
    <r>
      <rPr>
        <vertAlign val="subscript"/>
        <sz val="8"/>
        <color theme="1"/>
        <rFont val="Arial"/>
        <family val="2"/>
      </rPr>
      <t>RS</t>
    </r>
    <r>
      <rPr>
        <sz val="8"/>
        <color theme="1"/>
        <rFont val="Arial"/>
        <family val="2"/>
      </rPr>
      <t xml:space="preserve">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( Q</t>
    </r>
    <r>
      <rPr>
        <vertAlign val="subscript"/>
        <sz val="8"/>
        <color theme="1"/>
        <rFont val="Arial"/>
        <family val="2"/>
      </rPr>
      <t>V150</t>
    </r>
    <r>
      <rPr>
        <sz val="8"/>
        <color theme="1"/>
        <rFont val="Arial"/>
        <family val="2"/>
      </rPr>
      <t>)</t>
    </r>
    <r>
      <rPr>
        <vertAlign val="superscript"/>
        <sz val="8"/>
        <color theme="1"/>
        <rFont val="Arial"/>
        <family val="2"/>
      </rPr>
      <t>1.2</t>
    </r>
  </si>
  <si>
    <r>
      <t xml:space="preserve"> n</t>
    </r>
    <r>
      <rPr>
        <vertAlign val="subscript"/>
        <sz val="8"/>
        <color theme="1"/>
        <rFont val="Arial"/>
        <family val="2"/>
      </rPr>
      <t>RS</t>
    </r>
    <r>
      <rPr>
        <sz val="8"/>
        <color theme="1"/>
        <rFont val="Arial"/>
        <family val="2"/>
      </rPr>
      <t xml:space="preserve">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( Q</t>
    </r>
    <r>
      <rPr>
        <vertAlign val="subscript"/>
        <sz val="8"/>
        <color theme="1"/>
        <rFont val="Arial"/>
        <family val="2"/>
      </rPr>
      <t>V200</t>
    </r>
    <r>
      <rPr>
        <sz val="8"/>
        <color theme="1"/>
        <rFont val="Arial"/>
        <family val="2"/>
      </rPr>
      <t>)</t>
    </r>
    <r>
      <rPr>
        <vertAlign val="superscript"/>
        <sz val="8"/>
        <color theme="1"/>
        <rFont val="Arial"/>
        <family val="2"/>
      </rPr>
      <t>1.2</t>
    </r>
  </si>
  <si>
    <r>
      <t>n</t>
    </r>
    <r>
      <rPr>
        <vertAlign val="subscript"/>
        <sz val="10"/>
        <color theme="1"/>
        <rFont val="Arial"/>
        <family val="2"/>
      </rPr>
      <t>RS/FW</t>
    </r>
  </si>
  <si>
    <r>
      <t>n</t>
    </r>
    <r>
      <rPr>
        <vertAlign val="subscript"/>
        <sz val="10"/>
        <color theme="1"/>
        <rFont val="Arial"/>
        <family val="2"/>
      </rPr>
      <t>TRS</t>
    </r>
  </si>
  <si>
    <r>
      <t xml:space="preserve"> P</t>
    </r>
    <r>
      <rPr>
        <vertAlign val="subscript"/>
        <sz val="8"/>
        <color theme="1"/>
        <rFont val="Arial"/>
        <family val="2"/>
      </rPr>
      <t>Rad</t>
    </r>
    <r>
      <rPr>
        <sz val="8"/>
        <color theme="1"/>
        <rFont val="Arial"/>
        <family val="2"/>
      </rPr>
      <t xml:space="preserve"> / A</t>
    </r>
    <r>
      <rPr>
        <vertAlign val="subscript"/>
        <sz val="8"/>
        <color theme="1"/>
        <rFont val="Arial"/>
        <family val="2"/>
      </rPr>
      <t>Rad,eff</t>
    </r>
  </si>
  <si>
    <r>
      <t>k.D1</t>
    </r>
    <r>
      <rPr>
        <vertAlign val="subscript"/>
        <sz val="8"/>
        <color theme="1"/>
        <rFont val="Arial"/>
        <family val="2"/>
      </rPr>
      <t>V0-80</t>
    </r>
  </si>
  <si>
    <r>
      <t>k.D2</t>
    </r>
    <r>
      <rPr>
        <vertAlign val="subscript"/>
        <sz val="8"/>
        <color theme="1"/>
        <rFont val="Arial"/>
        <family val="2"/>
      </rPr>
      <t>V0-80</t>
    </r>
  </si>
  <si>
    <r>
      <t>k.D1</t>
    </r>
    <r>
      <rPr>
        <vertAlign val="subscript"/>
        <sz val="8"/>
        <color theme="1"/>
        <rFont val="Arial"/>
        <family val="2"/>
      </rPr>
      <t>V80-100</t>
    </r>
  </si>
  <si>
    <r>
      <t>k.D2</t>
    </r>
    <r>
      <rPr>
        <vertAlign val="subscript"/>
        <sz val="8"/>
        <color theme="1"/>
        <rFont val="Arial"/>
        <family val="2"/>
      </rPr>
      <t>V80-100</t>
    </r>
  </si>
  <si>
    <r>
      <t>k.D1</t>
    </r>
    <r>
      <rPr>
        <vertAlign val="subscript"/>
        <sz val="8"/>
        <color theme="1"/>
        <rFont val="Arial"/>
        <family val="2"/>
      </rPr>
      <t>V100-120</t>
    </r>
  </si>
  <si>
    <r>
      <t>k.D2</t>
    </r>
    <r>
      <rPr>
        <vertAlign val="subscript"/>
        <sz val="8"/>
        <color theme="1"/>
        <rFont val="Arial"/>
        <family val="2"/>
      </rPr>
      <t>V100-120</t>
    </r>
  </si>
  <si>
    <r>
      <t>k.D1</t>
    </r>
    <r>
      <rPr>
        <vertAlign val="subscript"/>
        <sz val="8"/>
        <color theme="1"/>
        <rFont val="Arial"/>
        <family val="2"/>
      </rPr>
      <t>V120-140</t>
    </r>
  </si>
  <si>
    <r>
      <t>k.D2</t>
    </r>
    <r>
      <rPr>
        <vertAlign val="subscript"/>
        <sz val="8"/>
        <color theme="1"/>
        <rFont val="Arial"/>
        <family val="2"/>
      </rPr>
      <t>V120-140</t>
    </r>
  </si>
  <si>
    <r>
      <t>k.D1</t>
    </r>
    <r>
      <rPr>
        <vertAlign val="subscript"/>
        <sz val="8"/>
        <color theme="1"/>
        <rFont val="Arial"/>
        <family val="2"/>
      </rPr>
      <t>V140-160</t>
    </r>
  </si>
  <si>
    <r>
      <t>k.D2</t>
    </r>
    <r>
      <rPr>
        <vertAlign val="subscript"/>
        <sz val="8"/>
        <color theme="1"/>
        <rFont val="Arial"/>
        <family val="2"/>
      </rPr>
      <t>V140-160</t>
    </r>
  </si>
  <si>
    <r>
      <t>k.D1</t>
    </r>
    <r>
      <rPr>
        <vertAlign val="subscript"/>
        <sz val="8"/>
        <color theme="1"/>
        <rFont val="Arial"/>
        <family val="2"/>
      </rPr>
      <t>V&lt;200</t>
    </r>
  </si>
  <si>
    <r>
      <t>k.D2</t>
    </r>
    <r>
      <rPr>
        <vertAlign val="subscript"/>
        <sz val="8"/>
        <color theme="1"/>
        <rFont val="Arial"/>
        <family val="2"/>
      </rPr>
      <t>V&lt;200</t>
    </r>
  </si>
  <si>
    <r>
      <t>k.D1</t>
    </r>
    <r>
      <rPr>
        <vertAlign val="subscript"/>
        <sz val="8"/>
        <color theme="1"/>
        <rFont val="Arial"/>
        <family val="2"/>
      </rPr>
      <t>R600-1200</t>
    </r>
  </si>
  <si>
    <r>
      <t>k.D4.1</t>
    </r>
    <r>
      <rPr>
        <vertAlign val="subscript"/>
        <sz val="8"/>
        <color theme="1"/>
        <rFont val="Arial"/>
        <family val="2"/>
      </rPr>
      <t>R600-1200</t>
    </r>
  </si>
  <si>
    <r>
      <t>k.D1</t>
    </r>
    <r>
      <rPr>
        <vertAlign val="subscript"/>
        <sz val="8"/>
        <color theme="1"/>
        <rFont val="Arial"/>
        <family val="2"/>
      </rPr>
      <t>R400-600</t>
    </r>
  </si>
  <si>
    <r>
      <t>k.D4.1</t>
    </r>
    <r>
      <rPr>
        <vertAlign val="subscript"/>
        <sz val="8"/>
        <color theme="1"/>
        <rFont val="Arial"/>
        <family val="2"/>
      </rPr>
      <t>R400-600</t>
    </r>
  </si>
  <si>
    <r>
      <t>k.D4.2</t>
    </r>
    <r>
      <rPr>
        <vertAlign val="subscript"/>
        <sz val="8"/>
        <color theme="1"/>
        <rFont val="Arial"/>
        <family val="2"/>
      </rPr>
      <t>R400-600</t>
    </r>
  </si>
  <si>
    <r>
      <t>k.D1</t>
    </r>
    <r>
      <rPr>
        <vertAlign val="subscript"/>
        <sz val="8"/>
        <color theme="1"/>
        <rFont val="Arial"/>
        <family val="2"/>
      </rPr>
      <t>R300-400</t>
    </r>
  </si>
  <si>
    <r>
      <t>k.D4.1</t>
    </r>
    <r>
      <rPr>
        <vertAlign val="subscript"/>
        <sz val="8"/>
        <color theme="1"/>
        <rFont val="Arial"/>
        <family val="2"/>
      </rPr>
      <t>R300-400</t>
    </r>
  </si>
  <si>
    <r>
      <t>k.D4.2</t>
    </r>
    <r>
      <rPr>
        <vertAlign val="subscript"/>
        <sz val="8"/>
        <color theme="1"/>
        <rFont val="Arial"/>
        <family val="2"/>
      </rPr>
      <t>R300-400</t>
    </r>
  </si>
  <si>
    <r>
      <t>k.D1</t>
    </r>
    <r>
      <rPr>
        <vertAlign val="subscript"/>
        <sz val="8"/>
        <color theme="1"/>
        <rFont val="Arial"/>
        <family val="2"/>
      </rPr>
      <t>R&lt;300</t>
    </r>
  </si>
  <si>
    <r>
      <t>k.D4.1</t>
    </r>
    <r>
      <rPr>
        <vertAlign val="subscript"/>
        <sz val="8"/>
        <color theme="1"/>
        <rFont val="Arial"/>
        <family val="2"/>
      </rPr>
      <t>R&lt;300</t>
    </r>
  </si>
  <si>
    <r>
      <t>k.D4.2</t>
    </r>
    <r>
      <rPr>
        <vertAlign val="subscript"/>
        <sz val="8"/>
        <color theme="1"/>
        <rFont val="Arial"/>
        <family val="2"/>
      </rPr>
      <t>R&lt;300</t>
    </r>
  </si>
  <si>
    <r>
      <t>T</t>
    </r>
    <r>
      <rPr>
        <vertAlign val="subscript"/>
        <sz val="10"/>
        <color theme="1"/>
        <rFont val="Arial"/>
        <family val="2"/>
      </rPr>
      <t>pv</t>
    </r>
  </si>
  <si>
    <r>
      <t>V</t>
    </r>
    <r>
      <rPr>
        <vertAlign val="subscript"/>
        <sz val="10"/>
        <color theme="1"/>
        <rFont val="Arial"/>
        <family val="2"/>
      </rPr>
      <t>Wzul</t>
    </r>
  </si>
  <si>
    <r>
      <t>Q</t>
    </r>
    <r>
      <rPr>
        <vertAlign val="subscript"/>
        <sz val="10"/>
        <color theme="1"/>
        <rFont val="Arial"/>
        <family val="2"/>
      </rPr>
      <t>W185</t>
    </r>
  </si>
  <si>
    <r>
      <t xml:space="preserve"> a</t>
    </r>
    <r>
      <rPr>
        <vertAlign val="subscript"/>
        <sz val="8"/>
        <color theme="1"/>
        <rFont val="Arial"/>
        <family val="2"/>
      </rPr>
      <t xml:space="preserve">Q * </t>
    </r>
    <r>
      <rPr>
        <sz val="8"/>
        <color theme="1"/>
        <rFont val="Arial"/>
        <family val="2"/>
      </rPr>
      <t>V</t>
    </r>
    <r>
      <rPr>
        <vertAlign val="subscript"/>
        <sz val="8"/>
        <color theme="1"/>
        <rFont val="Arial"/>
        <family val="2"/>
      </rPr>
      <t>Wzul</t>
    </r>
    <r>
      <rPr>
        <sz val="8"/>
        <color theme="1"/>
        <rFont val="Arial"/>
        <family val="2"/>
      </rPr>
      <t xml:space="preserve"> + b</t>
    </r>
    <r>
      <rPr>
        <vertAlign val="subscript"/>
        <sz val="8"/>
        <color theme="1"/>
        <rFont val="Arial"/>
        <family val="2"/>
      </rPr>
      <t>Q</t>
    </r>
  </si>
  <si>
    <r>
      <t>Y</t>
    </r>
    <r>
      <rPr>
        <vertAlign val="subscript"/>
        <sz val="10"/>
        <color theme="1"/>
        <rFont val="Arial"/>
        <family val="2"/>
      </rPr>
      <t>W185</t>
    </r>
  </si>
  <si>
    <r>
      <t xml:space="preserve"> n</t>
    </r>
    <r>
      <rPr>
        <vertAlign val="subscript"/>
        <sz val="8"/>
        <color theme="1"/>
        <rFont val="Arial"/>
        <family val="2"/>
      </rPr>
      <t>FW</t>
    </r>
    <r>
      <rPr>
        <sz val="8"/>
        <color theme="1"/>
        <rFont val="Arial"/>
        <family val="2"/>
      </rPr>
      <t xml:space="preserve">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( 0.5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Q</t>
    </r>
    <r>
      <rPr>
        <vertAlign val="subscript"/>
        <sz val="8"/>
        <color theme="1"/>
        <rFont val="Arial"/>
        <family val="2"/>
      </rPr>
      <t>W185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+ 0.5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Y</t>
    </r>
    <r>
      <rPr>
        <vertAlign val="subscript"/>
        <sz val="8"/>
        <color theme="1"/>
        <rFont val="Arial"/>
        <family val="2"/>
      </rPr>
      <t>W185</t>
    </r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 xml:space="preserve">) </t>
    </r>
    <r>
      <rPr>
        <vertAlign val="superscript"/>
        <sz val="8"/>
        <color theme="1"/>
        <rFont val="Arial"/>
        <family val="2"/>
      </rPr>
      <t>0.5</t>
    </r>
  </si>
  <si>
    <r>
      <t>W</t>
    </r>
    <r>
      <rPr>
        <vertAlign val="subscript"/>
        <sz val="10"/>
        <color theme="1"/>
        <rFont val="Arial"/>
        <family val="2"/>
      </rPr>
      <t>b,R&lt;300</t>
    </r>
  </si>
  <si>
    <r>
      <t>W</t>
    </r>
    <r>
      <rPr>
        <vertAlign val="subscript"/>
        <sz val="10"/>
        <color theme="1"/>
        <rFont val="Arial"/>
        <family val="2"/>
      </rPr>
      <t>b,R300-400</t>
    </r>
  </si>
  <si>
    <r>
      <t>W</t>
    </r>
    <r>
      <rPr>
        <vertAlign val="subscript"/>
        <sz val="10"/>
        <color theme="1"/>
        <rFont val="Arial"/>
        <family val="2"/>
      </rPr>
      <t>b,R400-600</t>
    </r>
  </si>
  <si>
    <r>
      <t>W</t>
    </r>
    <r>
      <rPr>
        <vertAlign val="subscript"/>
        <sz val="10"/>
        <color theme="1"/>
        <rFont val="Arial"/>
        <family val="2"/>
      </rPr>
      <t>b,R600-1200</t>
    </r>
  </si>
  <si>
    <t>TZ</t>
  </si>
  <si>
    <t>N</t>
  </si>
  <si>
    <t>PWg</t>
  </si>
  <si>
    <t>Lok</t>
  </si>
  <si>
    <t>A</t>
  </si>
  <si>
    <t>GWg</t>
  </si>
  <si>
    <r>
      <t>f</t>
    </r>
    <r>
      <rPr>
        <vertAlign val="subscript"/>
        <sz val="8"/>
        <color theme="1"/>
        <rFont val="Arial"/>
        <family val="2"/>
      </rPr>
      <t>u</t>
    </r>
    <r>
      <rPr>
        <sz val="8"/>
        <color theme="1"/>
        <rFont val="Arial"/>
        <family val="2"/>
      </rPr>
      <t>Y</t>
    </r>
    <r>
      <rPr>
        <vertAlign val="subscript"/>
        <sz val="8"/>
        <color theme="1"/>
        <rFont val="Arial"/>
        <family val="2"/>
      </rPr>
      <t>W185</t>
    </r>
    <r>
      <rPr>
        <sz val="8"/>
        <color theme="1"/>
        <rFont val="Arial"/>
        <family val="2"/>
      </rPr>
      <t xml:space="preserve">Σm  </t>
    </r>
    <r>
      <rPr>
        <vertAlign val="subscript"/>
        <sz val="8"/>
        <color theme="1"/>
        <rFont val="Arial"/>
        <family val="2"/>
      </rPr>
      <t xml:space="preserve">* </t>
    </r>
    <r>
      <rPr>
        <sz val="8"/>
        <color theme="1"/>
        <rFont val="Arial"/>
        <family val="2"/>
      </rPr>
      <t xml:space="preserve"> f</t>
    </r>
    <r>
      <rPr>
        <vertAlign val="subscript"/>
        <sz val="8"/>
        <color theme="1"/>
        <rFont val="Arial"/>
        <family val="2"/>
      </rPr>
      <t>u</t>
    </r>
    <r>
      <rPr>
        <sz val="8"/>
        <color theme="1"/>
        <rFont val="Arial"/>
        <family val="2"/>
      </rPr>
      <t>Y</t>
    </r>
    <r>
      <rPr>
        <vertAlign val="subscript"/>
        <sz val="8"/>
        <color theme="1"/>
        <rFont val="Arial"/>
        <family val="2"/>
      </rPr>
      <t>W185</t>
    </r>
    <r>
      <rPr>
        <sz val="8"/>
        <color theme="1"/>
        <rFont val="Arial"/>
        <family val="2"/>
      </rPr>
      <t>C</t>
    </r>
    <r>
      <rPr>
        <vertAlign val="subscript"/>
        <sz val="8"/>
        <color theme="1"/>
        <rFont val="Arial"/>
        <family val="2"/>
      </rPr>
      <t>x</t>
    </r>
    <r>
      <rPr>
        <sz val="8"/>
        <color theme="1"/>
        <rFont val="Arial"/>
        <family val="2"/>
      </rPr>
      <t xml:space="preserve"> 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 f</t>
    </r>
    <r>
      <rPr>
        <vertAlign val="subscript"/>
        <sz val="8"/>
        <color theme="1"/>
        <rFont val="Arial"/>
        <family val="2"/>
      </rPr>
      <t>u</t>
    </r>
    <r>
      <rPr>
        <sz val="8"/>
        <color theme="1"/>
        <rFont val="Arial"/>
        <family val="2"/>
      </rPr>
      <t>Y</t>
    </r>
    <r>
      <rPr>
        <vertAlign val="subscript"/>
        <sz val="8"/>
        <color theme="1"/>
        <rFont val="Arial"/>
        <family val="2"/>
      </rPr>
      <t>W185</t>
    </r>
    <r>
      <rPr>
        <sz val="8"/>
        <color theme="1"/>
        <rFont val="Arial"/>
        <family val="2"/>
      </rPr>
      <t xml:space="preserve">SD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 f</t>
    </r>
    <r>
      <rPr>
        <vertAlign val="subscript"/>
        <sz val="8"/>
        <color theme="1"/>
        <rFont val="Arial"/>
        <family val="2"/>
      </rPr>
      <t>u</t>
    </r>
    <r>
      <rPr>
        <sz val="8"/>
        <color theme="1"/>
        <rFont val="Arial"/>
        <family val="2"/>
      </rPr>
      <t>Y</t>
    </r>
    <r>
      <rPr>
        <vertAlign val="subscript"/>
        <sz val="8"/>
        <color theme="1"/>
        <rFont val="Arial"/>
        <family val="2"/>
      </rPr>
      <t>W185</t>
    </r>
    <r>
      <rPr>
        <sz val="8"/>
        <color theme="1"/>
        <rFont val="Arial"/>
        <family val="2"/>
      </rPr>
      <t>J</t>
    </r>
    <r>
      <rPr>
        <vertAlign val="subscript"/>
        <sz val="8"/>
        <color theme="1"/>
        <rFont val="Arial"/>
        <family val="2"/>
      </rPr>
      <t>zz</t>
    </r>
    <r>
      <rPr>
        <sz val="8"/>
        <color theme="1"/>
        <rFont val="Arial"/>
        <family val="2"/>
      </rPr>
      <t xml:space="preserve">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 f</t>
    </r>
    <r>
      <rPr>
        <vertAlign val="subscript"/>
        <sz val="8"/>
        <color theme="1"/>
        <rFont val="Arial"/>
        <family val="2"/>
      </rPr>
      <t>u</t>
    </r>
    <r>
      <rPr>
        <sz val="8"/>
        <color theme="1"/>
        <rFont val="Arial"/>
        <family val="2"/>
      </rPr>
      <t>Y</t>
    </r>
    <r>
      <rPr>
        <vertAlign val="subscript"/>
        <sz val="8"/>
        <color theme="1"/>
        <rFont val="Arial"/>
        <family val="2"/>
      </rPr>
      <t>W185</t>
    </r>
    <r>
      <rPr>
        <sz val="8"/>
        <color theme="1"/>
        <rFont val="Arial"/>
        <family val="2"/>
      </rPr>
      <t>μ</t>
    </r>
  </si>
  <si>
    <t>S</t>
  </si>
  <si>
    <r>
      <t>Crel</t>
    </r>
    <r>
      <rPr>
        <b/>
        <vertAlign val="subscript"/>
        <sz val="10"/>
        <color theme="1"/>
        <rFont val="Arial"/>
        <family val="2"/>
      </rPr>
      <t>R600-1200</t>
    </r>
  </si>
  <si>
    <t>CHF/km</t>
  </si>
  <si>
    <r>
      <t>Crel</t>
    </r>
    <r>
      <rPr>
        <b/>
        <vertAlign val="subscript"/>
        <sz val="10"/>
        <color theme="1"/>
        <rFont val="Arial"/>
        <family val="2"/>
      </rPr>
      <t>R400-600</t>
    </r>
  </si>
  <si>
    <r>
      <t>Crel</t>
    </r>
    <r>
      <rPr>
        <b/>
        <vertAlign val="subscript"/>
        <sz val="10"/>
        <color theme="1"/>
        <rFont val="Arial"/>
        <family val="2"/>
      </rPr>
      <t>R300-400</t>
    </r>
  </si>
  <si>
    <r>
      <t>Crel</t>
    </r>
    <r>
      <rPr>
        <b/>
        <vertAlign val="subscript"/>
        <sz val="10"/>
        <color theme="1"/>
        <rFont val="Arial"/>
        <family val="2"/>
      </rPr>
      <t>R&lt;300</t>
    </r>
  </si>
  <si>
    <r>
      <t>C</t>
    </r>
    <r>
      <rPr>
        <b/>
        <vertAlign val="subscript"/>
        <sz val="10"/>
        <color theme="1"/>
        <rFont val="Arial"/>
        <family val="2"/>
      </rPr>
      <t>R&lt;300</t>
    </r>
  </si>
  <si>
    <r>
      <t>C</t>
    </r>
    <r>
      <rPr>
        <b/>
        <vertAlign val="subscript"/>
        <sz val="10"/>
        <color theme="1"/>
        <rFont val="Arial"/>
        <family val="2"/>
      </rPr>
      <t>R300-400</t>
    </r>
  </si>
  <si>
    <r>
      <t>C</t>
    </r>
    <r>
      <rPr>
        <b/>
        <vertAlign val="subscript"/>
        <sz val="10"/>
        <color theme="1"/>
        <rFont val="Arial"/>
        <family val="2"/>
      </rPr>
      <t>R400-600</t>
    </r>
  </si>
  <si>
    <r>
      <t>C</t>
    </r>
    <r>
      <rPr>
        <b/>
        <vertAlign val="subscript"/>
        <sz val="10"/>
        <color theme="1"/>
        <rFont val="Arial"/>
        <family val="2"/>
      </rPr>
      <t>R600-1200</t>
    </r>
  </si>
  <si>
    <r>
      <t>Crel</t>
    </r>
    <r>
      <rPr>
        <b/>
        <vertAlign val="subscript"/>
        <sz val="10"/>
        <color theme="1"/>
        <rFont val="Arial"/>
        <family val="2"/>
      </rPr>
      <t>V0-80</t>
    </r>
  </si>
  <si>
    <r>
      <t>Crel</t>
    </r>
    <r>
      <rPr>
        <b/>
        <vertAlign val="subscript"/>
        <sz val="10"/>
        <color theme="1"/>
        <rFont val="Arial"/>
        <family val="2"/>
      </rPr>
      <t>V80-100</t>
    </r>
  </si>
  <si>
    <r>
      <t>Crel</t>
    </r>
    <r>
      <rPr>
        <b/>
        <vertAlign val="subscript"/>
        <sz val="10"/>
        <color theme="1"/>
        <rFont val="Arial"/>
        <family val="2"/>
      </rPr>
      <t>V100-120</t>
    </r>
  </si>
  <si>
    <r>
      <t>Crel</t>
    </r>
    <r>
      <rPr>
        <b/>
        <vertAlign val="subscript"/>
        <sz val="10"/>
        <color theme="1"/>
        <rFont val="Arial"/>
        <family val="2"/>
      </rPr>
      <t>V120-140</t>
    </r>
  </si>
  <si>
    <r>
      <t>Crel</t>
    </r>
    <r>
      <rPr>
        <b/>
        <vertAlign val="subscript"/>
        <sz val="10"/>
        <color theme="1"/>
        <rFont val="Arial"/>
        <family val="2"/>
      </rPr>
      <t>V140-160</t>
    </r>
  </si>
  <si>
    <r>
      <t>Crel</t>
    </r>
    <r>
      <rPr>
        <b/>
        <vertAlign val="subscript"/>
        <sz val="10"/>
        <color theme="1"/>
        <rFont val="Arial"/>
        <family val="2"/>
      </rPr>
      <t>V&gt;160</t>
    </r>
  </si>
  <si>
    <r>
      <t>C</t>
    </r>
    <r>
      <rPr>
        <b/>
        <vertAlign val="subscript"/>
        <sz val="10"/>
        <color theme="1"/>
        <rFont val="Arial"/>
        <family val="2"/>
      </rPr>
      <t>V0-80</t>
    </r>
  </si>
  <si>
    <r>
      <t>C</t>
    </r>
    <r>
      <rPr>
        <b/>
        <vertAlign val="subscript"/>
        <sz val="10"/>
        <color theme="1"/>
        <rFont val="Arial"/>
        <family val="2"/>
      </rPr>
      <t>V80-100</t>
    </r>
  </si>
  <si>
    <r>
      <t>C</t>
    </r>
    <r>
      <rPr>
        <b/>
        <vertAlign val="subscript"/>
        <sz val="10"/>
        <color theme="1"/>
        <rFont val="Arial"/>
        <family val="2"/>
      </rPr>
      <t>V100-120</t>
    </r>
  </si>
  <si>
    <r>
      <t>C</t>
    </r>
    <r>
      <rPr>
        <b/>
        <vertAlign val="subscript"/>
        <sz val="10"/>
        <color theme="1"/>
        <rFont val="Arial"/>
        <family val="2"/>
      </rPr>
      <t>V120-140</t>
    </r>
  </si>
  <si>
    <r>
      <t>C</t>
    </r>
    <r>
      <rPr>
        <b/>
        <vertAlign val="subscript"/>
        <sz val="10"/>
        <color theme="1"/>
        <rFont val="Arial"/>
        <family val="2"/>
      </rPr>
      <t>V140-160</t>
    </r>
  </si>
  <si>
    <r>
      <t>C</t>
    </r>
    <r>
      <rPr>
        <b/>
        <vertAlign val="subscript"/>
        <sz val="10"/>
        <color theme="1"/>
        <rFont val="Arial"/>
        <family val="2"/>
      </rPr>
      <t>V&gt;160</t>
    </r>
  </si>
  <si>
    <r>
      <t>Crel</t>
    </r>
    <r>
      <rPr>
        <vertAlign val="subscript"/>
        <sz val="8"/>
        <color theme="1"/>
        <rFont val="Arial"/>
        <family val="2"/>
      </rPr>
      <t>V0-80</t>
    </r>
    <r>
      <rPr>
        <sz val="8"/>
        <color theme="1"/>
        <rFont val="Arial"/>
        <family val="2"/>
      </rPr>
      <t xml:space="preserve"> * S</t>
    </r>
  </si>
  <si>
    <r>
      <t>Crel</t>
    </r>
    <r>
      <rPr>
        <vertAlign val="subscript"/>
        <sz val="8"/>
        <color theme="1"/>
        <rFont val="Arial"/>
        <family val="2"/>
      </rPr>
      <t>V80-100</t>
    </r>
    <r>
      <rPr>
        <sz val="8"/>
        <color theme="1"/>
        <rFont val="Arial"/>
        <family val="2"/>
      </rPr>
      <t xml:space="preserve"> * S</t>
    </r>
  </si>
  <si>
    <r>
      <t>Crel</t>
    </r>
    <r>
      <rPr>
        <vertAlign val="subscript"/>
        <sz val="8"/>
        <color theme="1"/>
        <rFont val="Arial"/>
        <family val="2"/>
      </rPr>
      <t>V100-120</t>
    </r>
    <r>
      <rPr>
        <sz val="8"/>
        <color theme="1"/>
        <rFont val="Arial"/>
        <family val="2"/>
      </rPr>
      <t xml:space="preserve"> * S</t>
    </r>
  </si>
  <si>
    <r>
      <t>Crel</t>
    </r>
    <r>
      <rPr>
        <vertAlign val="subscript"/>
        <sz val="8"/>
        <color theme="1"/>
        <rFont val="Arial"/>
        <family val="2"/>
      </rPr>
      <t>V120-140</t>
    </r>
    <r>
      <rPr>
        <sz val="8"/>
        <color theme="1"/>
        <rFont val="Arial"/>
        <family val="2"/>
      </rPr>
      <t xml:space="preserve"> * S</t>
    </r>
  </si>
  <si>
    <r>
      <t>Crel</t>
    </r>
    <r>
      <rPr>
        <vertAlign val="subscript"/>
        <sz val="8"/>
        <color theme="1"/>
        <rFont val="Arial"/>
        <family val="2"/>
      </rPr>
      <t>V140-160</t>
    </r>
    <r>
      <rPr>
        <sz val="8"/>
        <color theme="1"/>
        <rFont val="Arial"/>
        <family val="2"/>
      </rPr>
      <t xml:space="preserve"> * S</t>
    </r>
  </si>
  <si>
    <r>
      <t>Crel</t>
    </r>
    <r>
      <rPr>
        <vertAlign val="subscript"/>
        <sz val="8"/>
        <color theme="1"/>
        <rFont val="Arial"/>
        <family val="2"/>
      </rPr>
      <t>V160-200</t>
    </r>
    <r>
      <rPr>
        <sz val="8"/>
        <color theme="1"/>
        <rFont val="Arial"/>
        <family val="2"/>
      </rPr>
      <t xml:space="preserve"> * S</t>
    </r>
  </si>
  <si>
    <r>
      <t>Crel</t>
    </r>
    <r>
      <rPr>
        <vertAlign val="subscript"/>
        <sz val="8"/>
        <color theme="1"/>
        <rFont val="Arial"/>
        <family val="2"/>
      </rPr>
      <t>R1-300</t>
    </r>
    <r>
      <rPr>
        <sz val="8"/>
        <color theme="1"/>
        <rFont val="Arial"/>
        <family val="2"/>
      </rPr>
      <t xml:space="preserve"> * S</t>
    </r>
  </si>
  <si>
    <r>
      <t>Crel</t>
    </r>
    <r>
      <rPr>
        <vertAlign val="subscript"/>
        <sz val="8"/>
        <color theme="1"/>
        <rFont val="Arial"/>
        <family val="2"/>
      </rPr>
      <t>R300-400</t>
    </r>
    <r>
      <rPr>
        <sz val="8"/>
        <color theme="1"/>
        <rFont val="Arial"/>
        <family val="2"/>
      </rPr>
      <t xml:space="preserve"> * S</t>
    </r>
  </si>
  <si>
    <r>
      <t>Crel</t>
    </r>
    <r>
      <rPr>
        <vertAlign val="subscript"/>
        <sz val="8"/>
        <color theme="1"/>
        <rFont val="Arial"/>
        <family val="2"/>
      </rPr>
      <t xml:space="preserve">R400-600 </t>
    </r>
    <r>
      <rPr>
        <sz val="8"/>
        <color theme="1"/>
        <rFont val="Arial"/>
        <family val="2"/>
      </rPr>
      <t>* S</t>
    </r>
  </si>
  <si>
    <r>
      <t>Crel</t>
    </r>
    <r>
      <rPr>
        <vertAlign val="subscript"/>
        <sz val="8"/>
        <color theme="1"/>
        <rFont val="Arial"/>
        <family val="2"/>
      </rPr>
      <t>R600-1200</t>
    </r>
    <r>
      <rPr>
        <sz val="8"/>
        <color theme="1"/>
        <rFont val="Arial"/>
        <family val="2"/>
      </rPr>
      <t xml:space="preserve"> * S</t>
    </r>
  </si>
  <si>
    <r>
      <t>Crel</t>
    </r>
    <r>
      <rPr>
        <vertAlign val="subscript"/>
        <sz val="10"/>
        <color theme="1"/>
        <rFont val="Arial"/>
        <family val="2"/>
      </rPr>
      <t>Tpv</t>
    </r>
  </si>
  <si>
    <r>
      <t>C</t>
    </r>
    <r>
      <rPr>
        <vertAlign val="subscript"/>
        <sz val="10"/>
        <color theme="1"/>
        <rFont val="Arial"/>
        <family val="2"/>
      </rPr>
      <t>Tpv</t>
    </r>
  </si>
  <si>
    <r>
      <t>Crel</t>
    </r>
    <r>
      <rPr>
        <vertAlign val="subscript"/>
        <sz val="8"/>
        <color theme="1"/>
        <rFont val="Arial"/>
        <family val="2"/>
      </rPr>
      <t>Tpv</t>
    </r>
    <r>
      <rPr>
        <sz val="8"/>
        <color theme="1"/>
        <rFont val="Arial"/>
        <family val="2"/>
      </rPr>
      <t xml:space="preserve"> * S</t>
    </r>
  </si>
  <si>
    <r>
      <t>f</t>
    </r>
    <r>
      <rPr>
        <vertAlign val="subscript"/>
        <sz val="10"/>
        <color theme="1"/>
        <rFont val="Arial"/>
        <family val="2"/>
      </rPr>
      <t>u/o</t>
    </r>
    <r>
      <rPr>
        <sz val="10"/>
        <color theme="1"/>
        <rFont val="Arial"/>
        <family val="2"/>
      </rPr>
      <t>Q</t>
    </r>
    <r>
      <rPr>
        <vertAlign val="subscript"/>
        <sz val="10"/>
        <color theme="1"/>
        <rFont val="Arial"/>
        <family val="2"/>
      </rPr>
      <t>0</t>
    </r>
  </si>
  <si>
    <r>
      <t>f</t>
    </r>
    <r>
      <rPr>
        <vertAlign val="subscript"/>
        <sz val="10"/>
        <color theme="1"/>
        <rFont val="Arial"/>
        <family val="2"/>
      </rPr>
      <t>u/o</t>
    </r>
    <r>
      <rPr>
        <sz val="10"/>
        <color theme="1"/>
        <rFont val="Arial"/>
        <family val="2"/>
      </rPr>
      <t>m</t>
    </r>
    <r>
      <rPr>
        <vertAlign val="subscript"/>
        <sz val="10"/>
        <color theme="1"/>
        <rFont val="Arial"/>
        <family val="2"/>
      </rPr>
      <t>u</t>
    </r>
  </si>
  <si>
    <r>
      <t>f</t>
    </r>
    <r>
      <rPr>
        <vertAlign val="subscript"/>
        <sz val="10"/>
        <color theme="0" tint="-0.499984740745262"/>
        <rFont val="Arial"/>
        <family val="2"/>
      </rPr>
      <t>u/o</t>
    </r>
    <r>
      <rPr>
        <sz val="10"/>
        <color theme="0" tint="-0.499984740745262"/>
        <rFont val="Arial"/>
        <family val="2"/>
      </rPr>
      <t>W</t>
    </r>
    <r>
      <rPr>
        <vertAlign val="subscript"/>
        <sz val="10"/>
        <color theme="0" tint="-0.499984740745262"/>
        <rFont val="Arial"/>
        <family val="2"/>
      </rPr>
      <t>b</t>
    </r>
    <r>
      <rPr>
        <sz val="10"/>
        <color theme="0" tint="-0.499984740745262"/>
        <rFont val="Arial"/>
        <family val="2"/>
      </rPr>
      <t>Σm</t>
    </r>
  </si>
  <si>
    <r>
      <t>f</t>
    </r>
    <r>
      <rPr>
        <vertAlign val="subscript"/>
        <sz val="10"/>
        <color theme="0" tint="-0.499984740745262"/>
        <rFont val="Arial"/>
        <family val="2"/>
      </rPr>
      <t>u/o</t>
    </r>
    <r>
      <rPr>
        <sz val="10"/>
        <color theme="0" tint="-0.499984740745262"/>
        <rFont val="Arial"/>
        <family val="2"/>
      </rPr>
      <t>W</t>
    </r>
    <r>
      <rPr>
        <vertAlign val="subscript"/>
        <sz val="10"/>
        <color theme="0" tint="-0.499984740745262"/>
        <rFont val="Arial"/>
        <family val="2"/>
      </rPr>
      <t>b</t>
    </r>
    <r>
      <rPr>
        <sz val="10"/>
        <color theme="0" tint="-0.499984740745262"/>
        <rFont val="Arial"/>
        <family val="2"/>
      </rPr>
      <t>C</t>
    </r>
    <r>
      <rPr>
        <vertAlign val="subscript"/>
        <sz val="10"/>
        <color theme="0" tint="-0.499984740745262"/>
        <rFont val="Arial"/>
        <family val="2"/>
      </rPr>
      <t>x</t>
    </r>
  </si>
  <si>
    <r>
      <t>f</t>
    </r>
    <r>
      <rPr>
        <vertAlign val="subscript"/>
        <sz val="10"/>
        <color theme="0" tint="-0.499984740745262"/>
        <rFont val="Arial"/>
        <family val="2"/>
      </rPr>
      <t>u/o</t>
    </r>
    <r>
      <rPr>
        <sz val="10"/>
        <color theme="0" tint="-0.499984740745262"/>
        <rFont val="Arial"/>
        <family val="2"/>
      </rPr>
      <t>W</t>
    </r>
    <r>
      <rPr>
        <vertAlign val="subscript"/>
        <sz val="10"/>
        <color theme="0" tint="-0.499984740745262"/>
        <rFont val="Arial"/>
        <family val="2"/>
      </rPr>
      <t>b</t>
    </r>
    <r>
      <rPr>
        <sz val="10"/>
        <color theme="0" tint="-0.499984740745262"/>
        <rFont val="Arial"/>
        <family val="2"/>
      </rPr>
      <t>μ</t>
    </r>
  </si>
  <si>
    <r>
      <t>f</t>
    </r>
    <r>
      <rPr>
        <vertAlign val="subscript"/>
        <sz val="10"/>
        <color theme="1"/>
        <rFont val="Arial"/>
        <family val="2"/>
      </rPr>
      <t>u/o</t>
    </r>
    <r>
      <rPr>
        <sz val="10"/>
        <color theme="1"/>
        <rFont val="Arial"/>
        <family val="2"/>
      </rPr>
      <t>W</t>
    </r>
    <r>
      <rPr>
        <vertAlign val="subscript"/>
        <sz val="10"/>
        <color theme="1"/>
        <rFont val="Arial"/>
        <family val="2"/>
      </rPr>
      <t>b</t>
    </r>
  </si>
  <si>
    <r>
      <t>f</t>
    </r>
    <r>
      <rPr>
        <vertAlign val="subscript"/>
        <sz val="10"/>
        <color theme="0" tint="-0.499984740745262"/>
        <rFont val="Arial"/>
        <family val="2"/>
      </rPr>
      <t>u/o</t>
    </r>
    <r>
      <rPr>
        <sz val="10"/>
        <color theme="0" tint="-0.499984740745262"/>
        <rFont val="Arial"/>
        <family val="2"/>
      </rPr>
      <t>Y</t>
    </r>
    <r>
      <rPr>
        <vertAlign val="subscript"/>
        <sz val="10"/>
        <color theme="0" tint="-0.499984740745262"/>
        <rFont val="Arial"/>
        <family val="2"/>
      </rPr>
      <t>W185</t>
    </r>
    <r>
      <rPr>
        <sz val="10"/>
        <color theme="0" tint="-0.499984740745262"/>
        <rFont val="Arial"/>
        <family val="2"/>
      </rPr>
      <t>Σm</t>
    </r>
  </si>
  <si>
    <r>
      <t>f</t>
    </r>
    <r>
      <rPr>
        <vertAlign val="subscript"/>
        <sz val="10"/>
        <color theme="0" tint="-0.499984740745262"/>
        <rFont val="Arial"/>
        <family val="2"/>
      </rPr>
      <t>u/o</t>
    </r>
    <r>
      <rPr>
        <sz val="10"/>
        <color theme="0" tint="-0.499984740745262"/>
        <rFont val="Arial"/>
        <family val="2"/>
      </rPr>
      <t>Y</t>
    </r>
    <r>
      <rPr>
        <vertAlign val="subscript"/>
        <sz val="10"/>
        <color theme="0" tint="-0.499984740745262"/>
        <rFont val="Arial"/>
        <family val="2"/>
      </rPr>
      <t>W185</t>
    </r>
    <r>
      <rPr>
        <sz val="10"/>
        <color theme="0" tint="-0.499984740745262"/>
        <rFont val="Arial"/>
        <family val="2"/>
      </rPr>
      <t>C</t>
    </r>
    <r>
      <rPr>
        <vertAlign val="subscript"/>
        <sz val="10"/>
        <color theme="0" tint="-0.499984740745262"/>
        <rFont val="Arial"/>
        <family val="2"/>
      </rPr>
      <t>x</t>
    </r>
  </si>
  <si>
    <r>
      <t>f</t>
    </r>
    <r>
      <rPr>
        <vertAlign val="subscript"/>
        <sz val="10"/>
        <color theme="0" tint="-0.499984740745262"/>
        <rFont val="Arial"/>
        <family val="2"/>
      </rPr>
      <t>u/o</t>
    </r>
    <r>
      <rPr>
        <sz val="10"/>
        <color theme="0" tint="-0.499984740745262"/>
        <rFont val="Arial"/>
        <family val="2"/>
      </rPr>
      <t>Y</t>
    </r>
    <r>
      <rPr>
        <vertAlign val="subscript"/>
        <sz val="10"/>
        <color theme="0" tint="-0.499984740745262"/>
        <rFont val="Arial"/>
        <family val="2"/>
      </rPr>
      <t>W185</t>
    </r>
    <r>
      <rPr>
        <sz val="10"/>
        <color theme="0" tint="-0.499984740745262"/>
        <rFont val="Arial"/>
        <family val="2"/>
      </rPr>
      <t>SD</t>
    </r>
  </si>
  <si>
    <r>
      <t>f</t>
    </r>
    <r>
      <rPr>
        <vertAlign val="subscript"/>
        <sz val="10"/>
        <color theme="0" tint="-0.499984740745262"/>
        <rFont val="Arial"/>
        <family val="2"/>
      </rPr>
      <t>u/o</t>
    </r>
    <r>
      <rPr>
        <sz val="10"/>
        <color theme="0" tint="-0.499984740745262"/>
        <rFont val="Arial"/>
        <family val="2"/>
      </rPr>
      <t>Y</t>
    </r>
    <r>
      <rPr>
        <vertAlign val="subscript"/>
        <sz val="10"/>
        <color theme="0" tint="-0.499984740745262"/>
        <rFont val="Arial"/>
        <family val="2"/>
      </rPr>
      <t>W185</t>
    </r>
    <r>
      <rPr>
        <sz val="10"/>
        <color theme="0" tint="-0.499984740745262"/>
        <rFont val="Arial"/>
        <family val="2"/>
      </rPr>
      <t>J</t>
    </r>
    <r>
      <rPr>
        <vertAlign val="subscript"/>
        <sz val="10"/>
        <color theme="0" tint="-0.499984740745262"/>
        <rFont val="Arial"/>
        <family val="2"/>
      </rPr>
      <t>zz</t>
    </r>
  </si>
  <si>
    <r>
      <t>f</t>
    </r>
    <r>
      <rPr>
        <vertAlign val="subscript"/>
        <sz val="10"/>
        <color theme="0" tint="-0.499984740745262"/>
        <rFont val="Arial"/>
        <family val="2"/>
      </rPr>
      <t>u/o</t>
    </r>
    <r>
      <rPr>
        <sz val="10"/>
        <color theme="0" tint="-0.499984740745262"/>
        <rFont val="Arial"/>
        <family val="2"/>
      </rPr>
      <t>Y</t>
    </r>
    <r>
      <rPr>
        <vertAlign val="subscript"/>
        <sz val="10"/>
        <color theme="0" tint="-0.499984740745262"/>
        <rFont val="Arial"/>
        <family val="2"/>
      </rPr>
      <t>W185</t>
    </r>
    <r>
      <rPr>
        <sz val="10"/>
        <color theme="0" tint="-0.499984740745262"/>
        <rFont val="Arial"/>
        <family val="2"/>
      </rPr>
      <t>μ</t>
    </r>
  </si>
  <si>
    <r>
      <t>f</t>
    </r>
    <r>
      <rPr>
        <vertAlign val="subscript"/>
        <sz val="10"/>
        <color theme="1"/>
        <rFont val="Arial"/>
        <family val="2"/>
      </rPr>
      <t>u/o</t>
    </r>
    <r>
      <rPr>
        <sz val="10"/>
        <color theme="1"/>
        <rFont val="Arial"/>
        <family val="2"/>
      </rPr>
      <t>Y</t>
    </r>
    <r>
      <rPr>
        <vertAlign val="subscript"/>
        <sz val="10"/>
        <color theme="1"/>
        <rFont val="Arial"/>
        <family val="2"/>
      </rPr>
      <t>W185</t>
    </r>
  </si>
  <si>
    <r>
      <t xml:space="preserve"> W</t>
    </r>
    <r>
      <rPr>
        <vertAlign val="subscript"/>
        <sz val="8"/>
        <color theme="1"/>
        <rFont val="Arial"/>
        <family val="2"/>
      </rPr>
      <t>b</t>
    </r>
    <r>
      <rPr>
        <sz val="8"/>
        <color theme="1"/>
        <rFont val="Arial"/>
        <family val="2"/>
      </rPr>
      <t xml:space="preserve"> &lt; 15 :           0
 15 ≤ W</t>
    </r>
    <r>
      <rPr>
        <vertAlign val="subscript"/>
        <sz val="8"/>
        <color theme="1"/>
        <rFont val="Arial"/>
        <family val="2"/>
      </rPr>
      <t>b</t>
    </r>
    <r>
      <rPr>
        <sz val="8"/>
        <color theme="1"/>
        <rFont val="Arial"/>
        <family val="2"/>
      </rPr>
      <t xml:space="preserve"> &lt; 65 :    n</t>
    </r>
    <r>
      <rPr>
        <vertAlign val="subscript"/>
        <sz val="8"/>
        <color theme="1"/>
        <rFont val="Arial"/>
        <family val="2"/>
      </rPr>
      <t>FW</t>
    </r>
    <r>
      <rPr>
        <sz val="8"/>
        <color theme="1"/>
        <rFont val="Arial"/>
        <family val="2"/>
      </rPr>
      <t xml:space="preserve"> * (0.02 * W</t>
    </r>
    <r>
      <rPr>
        <vertAlign val="subscript"/>
        <sz val="8"/>
        <color theme="1"/>
        <rFont val="Arial"/>
        <family val="2"/>
      </rPr>
      <t>b</t>
    </r>
    <r>
      <rPr>
        <sz val="8"/>
        <color theme="1"/>
        <rFont val="Arial"/>
        <family val="2"/>
      </rPr>
      <t xml:space="preserve"> - 0.3)
 65 ≤ W</t>
    </r>
    <r>
      <rPr>
        <vertAlign val="subscript"/>
        <sz val="8"/>
        <color theme="1"/>
        <rFont val="Arial"/>
        <family val="2"/>
      </rPr>
      <t>b</t>
    </r>
    <r>
      <rPr>
        <sz val="8"/>
        <color theme="1"/>
        <rFont val="Arial"/>
        <family val="2"/>
      </rPr>
      <t xml:space="preserve"> &lt; 175 :  n</t>
    </r>
    <r>
      <rPr>
        <vertAlign val="subscript"/>
        <sz val="8"/>
        <color theme="1"/>
        <rFont val="Arial"/>
        <family val="2"/>
      </rPr>
      <t>FW</t>
    </r>
    <r>
      <rPr>
        <sz val="8"/>
        <color theme="1"/>
        <rFont val="Arial"/>
        <family val="2"/>
      </rPr>
      <t xml:space="preserve"> * (-W</t>
    </r>
    <r>
      <rPr>
        <vertAlign val="subscript"/>
        <sz val="8"/>
        <color theme="1"/>
        <rFont val="Arial"/>
        <family val="2"/>
      </rPr>
      <t>b</t>
    </r>
    <r>
      <rPr>
        <sz val="8"/>
        <color theme="1"/>
        <rFont val="Arial"/>
        <family val="2"/>
      </rPr>
      <t xml:space="preserve"> + 175) / 110
 W</t>
    </r>
    <r>
      <rPr>
        <vertAlign val="subscript"/>
        <sz val="8"/>
        <color theme="1"/>
        <rFont val="Arial"/>
        <family val="2"/>
      </rPr>
      <t>b</t>
    </r>
    <r>
      <rPr>
        <sz val="8"/>
        <color theme="1"/>
        <rFont val="Arial"/>
        <family val="2"/>
      </rPr>
      <t xml:space="preserve"> ≥ 175 :         0 </t>
    </r>
  </si>
  <si>
    <r>
      <t xml:space="preserve"> W</t>
    </r>
    <r>
      <rPr>
        <vertAlign val="subscript"/>
        <sz val="8"/>
        <color theme="1"/>
        <rFont val="Arial"/>
        <family val="2"/>
      </rPr>
      <t>b</t>
    </r>
    <r>
      <rPr>
        <sz val="8"/>
        <color theme="1"/>
        <rFont val="Arial"/>
        <family val="2"/>
      </rPr>
      <t xml:space="preserve"> &lt; 65 :     0
 W</t>
    </r>
    <r>
      <rPr>
        <vertAlign val="subscript"/>
        <sz val="8"/>
        <color theme="1"/>
        <rFont val="Arial"/>
        <family val="2"/>
      </rPr>
      <t>b</t>
    </r>
    <r>
      <rPr>
        <sz val="8"/>
        <color theme="1"/>
        <rFont val="Arial"/>
        <family val="2"/>
      </rPr>
      <t xml:space="preserve"> ≥ 65 :     n</t>
    </r>
    <r>
      <rPr>
        <vertAlign val="subscript"/>
        <sz val="8"/>
        <color theme="1"/>
        <rFont val="Arial"/>
        <family val="2"/>
      </rPr>
      <t>FW</t>
    </r>
    <r>
      <rPr>
        <sz val="8"/>
        <color theme="1"/>
        <rFont val="Arial"/>
        <family val="2"/>
      </rPr>
      <t xml:space="preserve"> * (W</t>
    </r>
    <r>
      <rPr>
        <vertAlign val="subscript"/>
        <sz val="8"/>
        <color theme="1"/>
        <rFont val="Arial"/>
        <family val="2"/>
      </rPr>
      <t>b</t>
    </r>
    <r>
      <rPr>
        <sz val="8"/>
        <color theme="1"/>
        <rFont val="Arial"/>
        <family val="2"/>
      </rPr>
      <t xml:space="preserve"> - 65) / 110</t>
    </r>
  </si>
  <si>
    <t>Sprache:
Langue:
Lingua:
Language:</t>
  </si>
  <si>
    <t>- cx ≥ 30 kN/mm:                     40 kN/mm
- 15 kN/mm ≤ cx &lt; 30 kN/mm : 20 kN/mm
- 8 kN/mm ≤ cx &lt; 15 kN/mm :   10 kN/mm
- cx &lt; 8 kN/mm :                       5 kN/mm</t>
  </si>
  <si>
    <t>de</t>
  </si>
  <si>
    <t>2021 Vx</t>
  </si>
  <si>
    <t>RABe 5xx 4/8</t>
  </si>
  <si>
    <t>Motor Bogie</t>
  </si>
  <si>
    <t>Trailer Bogie</t>
  </si>
  <si>
    <t>2.5%</t>
  </si>
  <si>
    <t>8%</t>
  </si>
  <si>
    <t>5%</t>
  </si>
  <si>
    <t>20 kN/mm</t>
  </si>
  <si>
    <t>10 kN/mm</t>
  </si>
  <si>
    <t>20%</t>
  </si>
  <si>
    <t>0%</t>
  </si>
  <si>
    <t>40%</t>
  </si>
  <si>
    <t>0.00</t>
  </si>
  <si>
    <t>Fahrzeug 1</t>
  </si>
  <si>
    <t>Fahrzeug 2</t>
  </si>
  <si>
    <t>Fahrzeug 3</t>
  </si>
  <si>
    <t>Fahrzeug 4</t>
  </si>
  <si>
    <t>Fahrzeug 5</t>
  </si>
  <si>
    <t>Fahrzeug 6</t>
  </si>
  <si>
    <t>Fahrzeug 7</t>
  </si>
  <si>
    <t>Fahrzeug 8</t>
  </si>
  <si>
    <t>Fahrzeug 9</t>
  </si>
  <si>
    <t>Fahrzeug 10</t>
  </si>
  <si>
    <t>Fahrzeug 11</t>
  </si>
  <si>
    <t>Fahrzeug 12</t>
  </si>
  <si>
    <t/>
  </si>
  <si>
    <t>Fahrzeug 13</t>
  </si>
  <si>
    <t>Fahrzeug 14</t>
  </si>
  <si>
    <t>Fahrzeug 15</t>
  </si>
  <si>
    <t>Fahrzeug 16</t>
  </si>
  <si>
    <t>Fahrzeug 17</t>
  </si>
  <si>
    <t>Fahrzeug 18</t>
  </si>
  <si>
    <t>Fahrzeug 19</t>
  </si>
  <si>
    <t>Fahrzeug 20</t>
  </si>
  <si>
    <t>Fahrzeug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</si>
</sst>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000"/>
    <numFmt numFmtId="165" formatCode="00&quot;a&quot;"/>
    <numFmt numFmtId="166" formatCode="&quot;Reibarbeit im Bezugsradius von &quot;00&quot; m&quot;"/>
    <numFmt numFmtId="167" formatCode="0.0000000"/>
    <numFmt numFmtId="168" formatCode="0.00000"/>
    <numFmt numFmtId="169" formatCode="0.000"/>
    <numFmt numFmtId="170" formatCode="0.0"/>
    <numFmt numFmtId="171" formatCode="0.000000000000"/>
    <numFmt numFmtId="172" formatCode="&quot;dynamische Radkraft bei V= &quot;00.00&quot; km/h&quot;"/>
    <numFmt numFmtId="173" formatCode="&quot;Radiengeschwindigkeiten berechnet für ü = 150 mm und aq = &quot;0.00&quot; m/s²:&quot;"/>
    <numFmt numFmtId="174" formatCode="0.00000000"/>
    <numFmt numFmtId="175" formatCode="0.00000000000000"/>
    <numFmt numFmtId="176" formatCode="0.00&quot; t&quot;"/>
  </numFmts>
  <fonts count="3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vertAlign val="sub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vertAlign val="subscript"/>
      <sz val="8"/>
      <color theme="1"/>
      <name val="Arial"/>
      <family val="2"/>
    </font>
    <font>
      <sz val="10"/>
      <name val="Arial"/>
      <family val="2"/>
    </font>
    <font>
      <sz val="12"/>
      <color theme="0"/>
      <name val="Arial"/>
      <family val="2"/>
    </font>
    <font>
      <sz val="14"/>
      <color theme="0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18"/>
      <color theme="0"/>
      <name val="Arial"/>
      <family val="2"/>
    </font>
    <font>
      <b/>
      <sz val="8"/>
      <color theme="1"/>
      <name val="Courier New"/>
      <family val="3"/>
    </font>
    <font>
      <b/>
      <sz val="12"/>
      <color theme="1"/>
      <name val="Courier New"/>
      <family val="3"/>
    </font>
    <font>
      <b/>
      <sz val="10"/>
      <color theme="1"/>
      <name val="Courier New"/>
      <family val="3"/>
    </font>
    <font>
      <b/>
      <sz val="12"/>
      <color theme="0"/>
      <name val="Arial"/>
      <family val="2"/>
    </font>
    <font>
      <sz val="14"/>
      <color theme="1"/>
      <name val="Arial"/>
      <family val="2"/>
    </font>
    <font>
      <sz val="12"/>
      <color theme="8" tint="0.79998168889431442"/>
      <name val="Arial"/>
      <family val="2"/>
    </font>
    <font>
      <sz val="10"/>
      <color theme="0" tint="-0.499984740745262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 tint="-4.9989318521683403E-2"/>
      <name val="Arial"/>
      <family val="2"/>
    </font>
    <font>
      <b/>
      <vertAlign val="subscript"/>
      <sz val="10"/>
      <color theme="1"/>
      <name val="Arial"/>
      <family val="2"/>
    </font>
    <font>
      <b/>
      <sz val="10"/>
      <color theme="1" tint="0.499984740745262"/>
      <name val="Courier New"/>
      <family val="3"/>
    </font>
    <font>
      <vertAlign val="subscript"/>
      <sz val="10"/>
      <color theme="0" tint="-0.499984740745262"/>
      <name val="Arial"/>
      <family val="2"/>
    </font>
    <font>
      <sz val="8"/>
      <color theme="0" tint="-0.499984740745262"/>
      <name val="Arial"/>
      <family val="2"/>
    </font>
    <font>
      <b/>
      <sz val="10"/>
      <color theme="1"/>
      <name val="Wingdings"/>
      <charset val="2"/>
    </font>
    <font>
      <sz val="8"/>
      <color theme="2"/>
      <name val="Arial"/>
      <family val="2"/>
    </font>
    <font>
      <sz val="10"/>
      <color theme="2"/>
      <name val="Arial"/>
      <family val="2"/>
    </font>
    <font>
      <b/>
      <sz val="9"/>
      <color theme="0"/>
      <name val="Arial"/>
      <family val="2"/>
    </font>
    <font>
      <sz val="11"/>
      <color indexed="8"/>
      <name val="Arial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9.9978637043366805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97">
    <border>
      <left/>
      <right/>
      <top/>
      <bottom/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medium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medium">
        <color theme="6" tint="0.59996337778862885"/>
      </top>
      <bottom style="medium">
        <color theme="6" tint="0.59996337778862885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/>
      <diagonal/>
    </border>
    <border>
      <left style="thin">
        <color theme="6" tint="0.79998168889431442"/>
      </left>
      <right/>
      <top style="thin">
        <color theme="6" tint="0.79998168889431442"/>
      </top>
      <bottom/>
      <diagonal/>
    </border>
    <border>
      <left/>
      <right/>
      <top style="thin">
        <color theme="6" tint="0.79998168889431442"/>
      </top>
      <bottom/>
      <diagonal/>
    </border>
    <border>
      <left/>
      <right style="thin">
        <color theme="6" tint="0.79998168889431442"/>
      </right>
      <top style="thin">
        <color theme="6" tint="0.79998168889431442"/>
      </top>
      <bottom/>
      <diagonal/>
    </border>
    <border>
      <left style="thin">
        <color theme="6" tint="0.79998168889431442"/>
      </left>
      <right/>
      <top/>
      <bottom style="thin">
        <color theme="6" tint="0.79998168889431442"/>
      </bottom>
      <diagonal/>
    </border>
    <border>
      <left/>
      <right/>
      <top/>
      <bottom style="thin">
        <color theme="6" tint="0.79998168889431442"/>
      </bottom>
      <diagonal/>
    </border>
    <border>
      <left/>
      <right style="thin">
        <color theme="6" tint="0.79998168889431442"/>
      </right>
      <top/>
      <bottom style="thin">
        <color theme="6" tint="0.79998168889431442"/>
      </bottom>
      <diagonal/>
    </border>
    <border>
      <left style="thin">
        <color theme="6" tint="0.79998168889431442"/>
      </left>
      <right style="thin">
        <color theme="6" tint="0.79998168889431442"/>
      </right>
      <top/>
      <bottom/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medium">
        <color theme="6" tint="0.79995117038483843"/>
      </bottom>
      <diagonal/>
    </border>
    <border>
      <left style="thin">
        <color theme="6" tint="0.79998168889431442"/>
      </left>
      <right style="thin">
        <color theme="6" tint="0.79998168889431442"/>
      </right>
      <top/>
      <bottom style="thin">
        <color theme="6" tint="0.79998168889431442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5117038483843"/>
      </bottom>
      <diagonal/>
    </border>
    <border>
      <left style="thin">
        <color theme="6" tint="0.79995117038483843"/>
      </left>
      <right/>
      <top style="thin">
        <color theme="6" tint="0.79995117038483843"/>
      </top>
      <bottom style="thin">
        <color theme="6" tint="0.79998168889431442"/>
      </bottom>
      <diagonal/>
    </border>
    <border>
      <left/>
      <right/>
      <top style="thin">
        <color theme="6" tint="0.79995117038483843"/>
      </top>
      <bottom style="thin">
        <color theme="6" tint="0.79998168889431442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8168889431442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/>
      <top style="medium">
        <color theme="6" tint="0.59996337778862885"/>
      </top>
      <bottom style="thin">
        <color theme="6" tint="0.59996337778862885"/>
      </bottom>
      <diagonal/>
    </border>
    <border>
      <left/>
      <right/>
      <top style="medium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medium">
        <color theme="6" tint="0.59996337778862885"/>
      </top>
      <bottom style="thin">
        <color theme="6" tint="0.59996337778862885"/>
      </bottom>
      <diagonal/>
    </border>
    <border>
      <left/>
      <right/>
      <top/>
      <bottom style="thin">
        <color theme="6" tint="0.79995117038483843"/>
      </bottom>
      <diagonal/>
    </border>
    <border>
      <left style="thin">
        <color theme="6"/>
      </left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7999816888943144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7999816888943144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7" tint="-9.9948118533890809E-2"/>
      </left>
      <right style="thin">
        <color theme="7" tint="-9.9948118533890809E-2"/>
      </right>
      <top style="thin">
        <color theme="7" tint="-9.9948118533890809E-2"/>
      </top>
      <bottom style="thin">
        <color theme="7" tint="-9.9948118533890809E-2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9.9948118533890809E-2"/>
      </left>
      <right style="thin">
        <color theme="7" tint="-9.9948118533890809E-2"/>
      </right>
      <top style="thin">
        <color theme="7" tint="-9.9948118533890809E-2"/>
      </top>
      <bottom/>
      <diagonal/>
    </border>
    <border>
      <left style="thin">
        <color theme="7" tint="-9.9948118533890809E-2"/>
      </left>
      <right style="thin">
        <color theme="7" tint="-9.9948118533890809E-2"/>
      </right>
      <top/>
      <bottom style="thin">
        <color theme="7" tint="-9.9948118533890809E-2"/>
      </bottom>
      <diagonal/>
    </border>
    <border>
      <left style="thin">
        <color theme="7" tint="-9.9917600024414813E-2"/>
      </left>
      <right style="thin">
        <color theme="7" tint="-9.9948118533890809E-2"/>
      </right>
      <top style="thin">
        <color theme="7" tint="-9.9948118533890809E-2"/>
      </top>
      <bottom style="thin">
        <color theme="7" tint="-9.9917600024414813E-2"/>
      </bottom>
      <diagonal/>
    </border>
    <border>
      <left style="thin">
        <color theme="7" tint="-9.9917600024414813E-2"/>
      </left>
      <right style="thin">
        <color theme="7" tint="-9.9917600024414813E-2"/>
      </right>
      <top style="thin">
        <color theme="7" tint="-9.9948118533890809E-2"/>
      </top>
      <bottom style="thin">
        <color theme="7" tint="-9.9917600024414813E-2"/>
      </bottom>
      <diagonal/>
    </border>
    <border>
      <left style="thin">
        <color theme="7" tint="-9.9917600024414813E-2"/>
      </left>
      <right style="thin">
        <color theme="7" tint="-9.9917600024414813E-2"/>
      </right>
      <top style="thin">
        <color theme="7" tint="-9.9917600024414813E-2"/>
      </top>
      <bottom style="thin">
        <color theme="7" tint="-9.9917600024414813E-2"/>
      </bottom>
      <diagonal/>
    </border>
    <border>
      <left style="thin">
        <color theme="7" tint="-9.9917600024414813E-2"/>
      </left>
      <right style="thin">
        <color theme="7" tint="-9.9948118533890809E-2"/>
      </right>
      <top style="thin">
        <color theme="7" tint="-9.9917600024414813E-2"/>
      </top>
      <bottom style="thin">
        <color theme="7" tint="-9.9917600024414813E-2"/>
      </bottom>
      <diagonal/>
    </border>
    <border>
      <left style="thin">
        <color theme="6" tint="0.79998168889431442"/>
      </left>
      <right/>
      <top style="thin">
        <color theme="6" tint="0.79998168889431442"/>
      </top>
      <bottom style="thin">
        <color theme="6" tint="0.79995117038483843"/>
      </bottom>
      <diagonal/>
    </border>
    <border>
      <left/>
      <right/>
      <top style="thin">
        <color theme="6" tint="0.79998168889431442"/>
      </top>
      <bottom style="thin">
        <color theme="6" tint="0.79995117038483843"/>
      </bottom>
      <diagonal/>
    </border>
    <border>
      <left/>
      <right style="thin">
        <color theme="6" tint="0.79998168889431442"/>
      </right>
      <top style="thin">
        <color theme="6" tint="0.79998168889431442"/>
      </top>
      <bottom style="thin">
        <color theme="6" tint="0.79995117038483843"/>
      </bottom>
      <diagonal/>
    </border>
    <border>
      <left style="thin">
        <color theme="6" tint="0.79998168889431442"/>
      </left>
      <right/>
      <top/>
      <bottom/>
      <diagonal/>
    </border>
    <border>
      <left/>
      <right style="thin">
        <color theme="6" tint="0.79998168889431442"/>
      </right>
      <top/>
      <bottom/>
      <diagonal/>
    </border>
    <border>
      <left style="thin">
        <color theme="6" tint="0.79998168889431442"/>
      </left>
      <right/>
      <top style="thin">
        <color theme="6" tint="0.79998168889431442"/>
      </top>
      <bottom style="medium">
        <color theme="6" tint="0.79995117038483843"/>
      </bottom>
      <diagonal/>
    </border>
    <border>
      <left/>
      <right/>
      <top style="thin">
        <color theme="6" tint="0.79998168889431442"/>
      </top>
      <bottom style="medium">
        <color theme="6" tint="0.79995117038483843"/>
      </bottom>
      <diagonal/>
    </border>
    <border>
      <left/>
      <right style="thin">
        <color theme="6" tint="0.79998168889431442"/>
      </right>
      <top style="thin">
        <color theme="6" tint="0.79998168889431442"/>
      </top>
      <bottom style="medium">
        <color theme="6" tint="0.79995117038483843"/>
      </bottom>
      <diagonal/>
    </border>
    <border>
      <left style="thin">
        <color theme="6" tint="0.59996337778862885"/>
      </left>
      <right/>
      <top style="medium">
        <color theme="6" tint="0.59996337778862885"/>
      </top>
      <bottom style="medium">
        <color theme="6" tint="0.59996337778862885"/>
      </bottom>
      <diagonal/>
    </border>
    <border>
      <left/>
      <right/>
      <top style="medium">
        <color theme="6" tint="0.59996337778862885"/>
      </top>
      <bottom style="medium">
        <color theme="6" tint="0.59996337778862885"/>
      </bottom>
      <diagonal/>
    </border>
    <border>
      <left/>
      <right style="thin">
        <color theme="6" tint="0.59996337778862885"/>
      </right>
      <top style="medium">
        <color theme="6" tint="0.59996337778862885"/>
      </top>
      <bottom style="medium">
        <color theme="6" tint="0.59996337778862885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medium">
        <color theme="6" tint="0.59996337778862885"/>
      </bottom>
      <diagonal/>
    </border>
    <border>
      <left/>
      <right/>
      <top style="thin">
        <color theme="6" tint="0.59996337778862885"/>
      </top>
      <bottom style="medium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medium">
        <color theme="6" tint="0.59996337778862885"/>
      </bottom>
      <diagonal/>
    </border>
    <border>
      <left style="thin">
        <color theme="7" tint="-9.9948118533890809E-2"/>
      </left>
      <right/>
      <top style="thin">
        <color theme="7" tint="-9.9948118533890809E-2"/>
      </top>
      <bottom style="thin">
        <color theme="7" tint="-9.9948118533890809E-2"/>
      </bottom>
      <diagonal/>
    </border>
    <border>
      <left/>
      <right/>
      <top style="thin">
        <color theme="7" tint="-9.9948118533890809E-2"/>
      </top>
      <bottom style="thin">
        <color theme="7" tint="-9.9948118533890809E-2"/>
      </bottom>
      <diagonal/>
    </border>
    <border>
      <left/>
      <right style="thin">
        <color theme="7" tint="-9.9948118533890809E-2"/>
      </right>
      <top style="thin">
        <color theme="7" tint="-9.9948118533890809E-2"/>
      </top>
      <bottom style="thin">
        <color theme="7" tint="-9.9948118533890809E-2"/>
      </bottom>
      <diagonal/>
    </border>
    <border>
      <left style="thin">
        <color theme="7" tint="-9.9948118533890809E-2"/>
      </left>
      <right/>
      <top style="thin">
        <color theme="7" tint="-9.9948118533890809E-2"/>
      </top>
      <bottom style="thin">
        <color theme="7" tint="-0.499984740745262"/>
      </bottom>
      <diagonal/>
    </border>
    <border>
      <left/>
      <right/>
      <top style="thin">
        <color theme="7" tint="-9.9948118533890809E-2"/>
      </top>
      <bottom style="thin">
        <color theme="7" tint="-0.499984740745262"/>
      </bottom>
      <diagonal/>
    </border>
    <border>
      <left/>
      <right style="thin">
        <color theme="7" tint="-9.9948118533890809E-2"/>
      </right>
      <top style="thin">
        <color theme="7" tint="-9.9948118533890809E-2"/>
      </top>
      <bottom style="thin">
        <color theme="7" tint="-0.499984740745262"/>
      </bottom>
      <diagonal/>
    </border>
    <border>
      <left style="thin">
        <color theme="6" tint="0.79998168889431442"/>
      </left>
      <right style="thin">
        <color theme="6" tint="0.79998168889431442"/>
      </right>
      <top style="medium">
        <color theme="6" tint="0.79995117038483843"/>
      </top>
      <bottom/>
      <diagonal/>
    </border>
    <border>
      <left/>
      <right/>
      <top style="thin">
        <color theme="6"/>
      </top>
      <bottom style="thin">
        <color theme="6" tint="0.79998168889431442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ck">
        <color theme="6" tint="0.59996337778862885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ck">
        <color theme="6" tint="0.59996337778862885"/>
      </bottom>
      <diagonal/>
    </border>
    <border>
      <left style="thin">
        <color theme="7" tint="-9.9917600024414813E-2"/>
      </left>
      <right style="thin">
        <color theme="7" tint="-9.9948118533890809E-2"/>
      </right>
      <top style="thin">
        <color theme="7" tint="-9.9948118533890809E-2"/>
      </top>
      <bottom style="thin">
        <color theme="7" tint="-9.9948118533890809E-2"/>
      </bottom>
      <diagonal/>
    </border>
    <border>
      <left style="thin">
        <color theme="7" tint="-9.9917600024414813E-2"/>
      </left>
      <right style="thin">
        <color theme="7" tint="-9.9948118533890809E-2"/>
      </right>
      <top style="thin">
        <color theme="7" tint="-9.9948118533890809E-2"/>
      </top>
      <bottom/>
      <diagonal/>
    </border>
    <border>
      <left style="thin">
        <color theme="7" tint="-9.9948118533890809E-2"/>
      </left>
      <right/>
      <top style="thin">
        <color theme="7" tint="-9.9948118533890809E-2"/>
      </top>
      <bottom/>
      <diagonal/>
    </border>
    <border>
      <left/>
      <right/>
      <top style="thin">
        <color theme="7" tint="-9.9948118533890809E-2"/>
      </top>
      <bottom/>
      <diagonal/>
    </border>
    <border>
      <left/>
      <right style="thin">
        <color theme="7" tint="-9.9948118533890809E-2"/>
      </right>
      <top style="thin">
        <color theme="7" tint="-9.9948118533890809E-2"/>
      </top>
      <bottom/>
      <diagonal/>
    </border>
    <border>
      <left style="thin">
        <color theme="6" tint="0.79998168889431442"/>
      </left>
      <right/>
      <top style="medium">
        <color theme="6" tint="0.79995117038483843"/>
      </top>
      <bottom style="thin">
        <color theme="6" tint="0.79998168889431442"/>
      </bottom>
      <diagonal/>
    </border>
    <border>
      <left/>
      <right/>
      <top style="medium">
        <color theme="6" tint="0.79995117038483843"/>
      </top>
      <bottom style="thin">
        <color theme="6" tint="0.79998168889431442"/>
      </bottom>
      <diagonal/>
    </border>
    <border>
      <left/>
      <right style="thin">
        <color theme="6" tint="0.79998168889431442"/>
      </right>
      <top style="medium">
        <color theme="6" tint="0.79995117038483843"/>
      </top>
      <bottom style="thin">
        <color theme="6" tint="0.7999816888943144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6" tint="0.59996337778862885"/>
      </left>
      <right/>
      <top/>
      <bottom style="thin">
        <color theme="6" tint="0.79998168889431442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ck">
        <color theme="4"/>
      </left>
      <right style="thick">
        <color theme="4"/>
      </right>
      <top style="thin">
        <color theme="6" tint="0.79998168889431442"/>
      </top>
      <bottom style="thin">
        <color theme="6" tint="0.79998168889431442"/>
      </bottom>
      <diagonal/>
    </border>
    <border>
      <left style="thick">
        <color theme="4"/>
      </left>
      <right style="thick">
        <color theme="4"/>
      </right>
      <top/>
      <bottom style="thin">
        <color theme="6" tint="0.79998168889431442"/>
      </bottom>
      <diagonal/>
    </border>
    <border>
      <left style="thick">
        <color theme="4"/>
      </left>
      <right style="thick">
        <color theme="4"/>
      </right>
      <top style="thin">
        <color theme="6" tint="0.79998168889431442"/>
      </top>
      <bottom style="thick">
        <color theme="4"/>
      </bottom>
      <diagonal/>
    </border>
    <border>
      <left style="thick">
        <color theme="6"/>
      </left>
      <right style="thick">
        <color theme="6"/>
      </right>
      <top/>
      <bottom style="thin">
        <color theme="6" tint="0.79998168889431442"/>
      </bottom>
      <diagonal/>
    </border>
    <border>
      <left style="thick">
        <color theme="6"/>
      </left>
      <right style="thick">
        <color theme="6"/>
      </right>
      <top style="thin">
        <color theme="6" tint="0.79998168889431442"/>
      </top>
      <bottom style="thin">
        <color theme="6" tint="0.79998168889431442"/>
      </bottom>
      <diagonal/>
    </border>
    <border>
      <left style="thick">
        <color theme="6"/>
      </left>
      <right style="thick">
        <color theme="6"/>
      </right>
      <top style="thin">
        <color theme="6" tint="0.79998168889431442"/>
      </top>
      <bottom style="thick">
        <color theme="6"/>
      </bottom>
      <diagonal/>
    </border>
    <border>
      <left style="thin">
        <color theme="7" tint="-9.9948118533890809E-2"/>
      </left>
      <right style="thin">
        <color theme="7" tint="-9.9917600024414813E-2"/>
      </right>
      <top style="thin">
        <color theme="7" tint="-9.9948118533890809E-2"/>
      </top>
      <bottom style="thin">
        <color theme="7" tint="-9.9948118533890809E-2"/>
      </bottom>
      <diagonal/>
    </border>
    <border>
      <left style="thin">
        <color theme="7" tint="-9.9948118533890809E-2"/>
      </left>
      <right style="thin">
        <color theme="7" tint="-9.9917600024414813E-2"/>
      </right>
      <top style="thin">
        <color theme="7" tint="-9.9948118533890809E-2"/>
      </top>
      <bottom/>
      <diagonal/>
    </border>
    <border>
      <left style="thin">
        <color theme="7" tint="-0.499984740745262"/>
      </left>
      <right style="thin">
        <color theme="7" tint="-9.9917600024414813E-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9.9948118533890809E-2"/>
      </left>
      <right style="thin">
        <color theme="7" tint="-9.9917600024414813E-2"/>
      </right>
      <top/>
      <bottom style="thin">
        <color theme="7" tint="-9.9948118533890809E-2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9" fillId="0" borderId="0"/>
    <xf numFmtId="0" fontId="35" fillId="0" borderId="0"/>
  </cellStyleXfs>
  <cellXfs count="336">
    <xf numFmtId="0" fontId="0" fillId="0" borderId="0" xfId="0"/>
    <xf numFmtId="0" fontId="2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/>
    <xf numFmtId="0" fontId="3" fillId="0" borderId="0" xfId="2" applyFill="1"/>
    <xf numFmtId="0" fontId="3" fillId="3" borderId="0" xfId="2" applyAlignment="1"/>
    <xf numFmtId="0" fontId="0" fillId="0" borderId="0" xfId="0" applyBorder="1"/>
    <xf numFmtId="0" fontId="11" fillId="3" borderId="0" xfId="2" applyFont="1" applyAlignment="1">
      <alignment vertical="center" wrapText="1"/>
    </xf>
    <xf numFmtId="166" fontId="0" fillId="0" borderId="0" xfId="0" applyNumberFormat="1" applyFont="1" applyFill="1" applyBorder="1" applyAlignment="1">
      <alignment horizontal="left"/>
    </xf>
    <xf numFmtId="165" fontId="7" fillId="0" borderId="0" xfId="0" applyNumberFormat="1" applyFont="1" applyBorder="1" applyAlignment="1">
      <alignment horizontal="left" vertical="center"/>
    </xf>
    <xf numFmtId="164" fontId="0" fillId="0" borderId="0" xfId="0" applyNumberFormat="1" applyBorder="1"/>
    <xf numFmtId="0" fontId="0" fillId="0" borderId="1" xfId="0" applyBorder="1"/>
    <xf numFmtId="172" fontId="0" fillId="0" borderId="1" xfId="0" applyNumberFormat="1" applyFont="1" applyFill="1" applyBorder="1" applyAlignment="1">
      <alignment horizontal="left"/>
    </xf>
    <xf numFmtId="0" fontId="0" fillId="0" borderId="2" xfId="0" applyBorder="1"/>
    <xf numFmtId="164" fontId="0" fillId="0" borderId="3" xfId="0" applyNumberFormat="1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/>
    <xf numFmtId="0" fontId="7" fillId="0" borderId="5" xfId="0" applyFont="1" applyBorder="1"/>
    <xf numFmtId="170" fontId="0" fillId="0" borderId="5" xfId="0" applyNumberFormat="1" applyBorder="1"/>
    <xf numFmtId="0" fontId="6" fillId="4" borderId="5" xfId="3" applyFont="1" applyBorder="1" applyAlignment="1"/>
    <xf numFmtId="169" fontId="0" fillId="0" borderId="5" xfId="0" applyNumberFormat="1" applyBorder="1"/>
    <xf numFmtId="0" fontId="0" fillId="0" borderId="5" xfId="0" applyFont="1" applyBorder="1" applyAlignment="1">
      <alignment vertical="center" wrapText="1"/>
    </xf>
    <xf numFmtId="168" fontId="0" fillId="0" borderId="5" xfId="0" applyNumberFormat="1" applyBorder="1"/>
    <xf numFmtId="164" fontId="0" fillId="0" borderId="5" xfId="0" applyNumberFormat="1" applyBorder="1"/>
    <xf numFmtId="0" fontId="6" fillId="4" borderId="5" xfId="3" applyFont="1" applyBorder="1" applyAlignment="1">
      <alignment horizontal="left"/>
    </xf>
    <xf numFmtId="167" fontId="0" fillId="0" borderId="5" xfId="0" applyNumberFormat="1" applyBorder="1"/>
    <xf numFmtId="0" fontId="7" fillId="4" borderId="5" xfId="3" applyFont="1" applyBorder="1" applyAlignment="1"/>
    <xf numFmtId="167" fontId="6" fillId="4" borderId="5" xfId="3" applyNumberFormat="1" applyFont="1" applyBorder="1" applyAlignment="1"/>
    <xf numFmtId="167" fontId="6" fillId="4" borderId="11" xfId="3" applyNumberFormat="1" applyFont="1" applyBorder="1" applyAlignment="1"/>
    <xf numFmtId="0" fontId="6" fillId="4" borderId="12" xfId="3" applyFont="1" applyBorder="1" applyAlignment="1"/>
    <xf numFmtId="167" fontId="2" fillId="2" borderId="14" xfId="1" applyNumberFormat="1" applyFont="1" applyBorder="1" applyAlignment="1"/>
    <xf numFmtId="0" fontId="2" fillId="2" borderId="15" xfId="1" applyFont="1" applyBorder="1" applyAlignment="1">
      <alignment horizontal="left"/>
    </xf>
    <xf numFmtId="167" fontId="2" fillId="2" borderId="7" xfId="1" applyNumberFormat="1" applyFont="1" applyBorder="1" applyAlignment="1"/>
    <xf numFmtId="0" fontId="2" fillId="2" borderId="8" xfId="1" applyFont="1" applyBorder="1" applyAlignment="1"/>
    <xf numFmtId="0" fontId="2" fillId="0" borderId="5" xfId="0" applyFont="1" applyBorder="1"/>
    <xf numFmtId="0" fontId="0" fillId="0" borderId="17" xfId="0" applyBorder="1"/>
    <xf numFmtId="0" fontId="3" fillId="0" borderId="0" xfId="2" applyFill="1" applyAlignment="1"/>
    <xf numFmtId="0" fontId="0" fillId="0" borderId="0" xfId="0" applyFill="1"/>
    <xf numFmtId="0" fontId="0" fillId="0" borderId="19" xfId="0" applyFont="1" applyBorder="1" applyAlignment="1">
      <alignment vertical="center" wrapText="1"/>
    </xf>
    <xf numFmtId="0" fontId="0" fillId="0" borderId="19" xfId="0" applyBorder="1"/>
    <xf numFmtId="164" fontId="0" fillId="0" borderId="19" xfId="0" applyNumberFormat="1" applyFill="1" applyBorder="1"/>
    <xf numFmtId="0" fontId="7" fillId="0" borderId="17" xfId="0" applyFont="1" applyBorder="1"/>
    <xf numFmtId="170" fontId="0" fillId="0" borderId="17" xfId="0" applyNumberFormat="1" applyBorder="1"/>
    <xf numFmtId="167" fontId="0" fillId="0" borderId="17" xfId="0" applyNumberFormat="1" applyBorder="1"/>
    <xf numFmtId="0" fontId="18" fillId="4" borderId="5" xfId="3" applyFont="1" applyBorder="1" applyAlignment="1"/>
    <xf numFmtId="171" fontId="19" fillId="9" borderId="5" xfId="0" applyNumberFormat="1" applyFont="1" applyFill="1" applyBorder="1"/>
    <xf numFmtId="171" fontId="19" fillId="9" borderId="17" xfId="0" applyNumberFormat="1" applyFont="1" applyFill="1" applyBorder="1"/>
    <xf numFmtId="171" fontId="18" fillId="4" borderId="5" xfId="3" applyNumberFormat="1" applyFont="1" applyBorder="1" applyAlignment="1"/>
    <xf numFmtId="171" fontId="18" fillId="4" borderId="10" xfId="3" applyNumberFormat="1" applyFont="1" applyBorder="1" applyAlignment="1"/>
    <xf numFmtId="171" fontId="19" fillId="2" borderId="13" xfId="1" applyNumberFormat="1" applyFont="1" applyBorder="1" applyAlignment="1"/>
    <xf numFmtId="171" fontId="19" fillId="2" borderId="6" xfId="1" applyNumberFormat="1" applyFont="1" applyBorder="1" applyAlignment="1"/>
    <xf numFmtId="167" fontId="2" fillId="8" borderId="5" xfId="0" applyNumberFormat="1" applyFont="1" applyFill="1" applyBorder="1"/>
    <xf numFmtId="167" fontId="2" fillId="8" borderId="18" xfId="0" applyNumberFormat="1" applyFont="1" applyFill="1" applyBorder="1"/>
    <xf numFmtId="0" fontId="7" fillId="4" borderId="5" xfId="3" applyFont="1" applyBorder="1" applyAlignment="1">
      <alignment horizontal="right"/>
    </xf>
    <xf numFmtId="0" fontId="7" fillId="8" borderId="14" xfId="3" applyFont="1" applyFill="1" applyBorder="1" applyAlignment="1">
      <alignment horizontal="right"/>
    </xf>
    <xf numFmtId="0" fontId="7" fillId="8" borderId="7" xfId="3" applyFont="1" applyFill="1" applyBorder="1" applyAlignment="1">
      <alignment horizontal="right"/>
    </xf>
    <xf numFmtId="0" fontId="0" fillId="0" borderId="0" xfId="0"/>
    <xf numFmtId="167" fontId="13" fillId="8" borderId="18" xfId="1" applyNumberFormat="1" applyFont="1" applyFill="1" applyBorder="1" applyAlignment="1"/>
    <xf numFmtId="0" fontId="6" fillId="4" borderId="20" xfId="3" applyFont="1" applyBorder="1" applyAlignment="1"/>
    <xf numFmtId="0" fontId="6" fillId="4" borderId="21" xfId="3" applyFont="1" applyBorder="1" applyAlignment="1"/>
    <xf numFmtId="0" fontId="6" fillId="4" borderId="22" xfId="3" applyFont="1" applyBorder="1" applyAlignment="1"/>
    <xf numFmtId="0" fontId="11" fillId="0" borderId="0" xfId="2" applyFont="1" applyFill="1"/>
    <xf numFmtId="0" fontId="21" fillId="0" borderId="0" xfId="0" applyFont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23" fillId="0" borderId="0" xfId="0" applyFont="1" applyFill="1" applyBorder="1"/>
    <xf numFmtId="0" fontId="15" fillId="10" borderId="23" xfId="4" applyFont="1" applyFill="1" applyBorder="1" applyAlignment="1"/>
    <xf numFmtId="0" fontId="15" fillId="10" borderId="24" xfId="4" applyFont="1" applyFill="1" applyBorder="1" applyAlignment="1"/>
    <xf numFmtId="0" fontId="15" fillId="10" borderId="25" xfId="4" applyFont="1" applyFill="1" applyBorder="1" applyAlignment="1"/>
    <xf numFmtId="0" fontId="11" fillId="0" borderId="0" xfId="5" applyFont="1" applyFill="1" applyBorder="1" applyAlignment="1"/>
    <xf numFmtId="0" fontId="22" fillId="0" borderId="0" xfId="5" applyFont="1" applyFill="1" applyBorder="1" applyAlignment="1"/>
    <xf numFmtId="49" fontId="9" fillId="0" borderId="0" xfId="0" applyNumberFormat="1" applyFont="1" applyFill="1" applyBorder="1" applyAlignment="1">
      <alignment horizontal="right"/>
    </xf>
    <xf numFmtId="164" fontId="0" fillId="0" borderId="1" xfId="0" applyNumberFormat="1" applyBorder="1"/>
    <xf numFmtId="164" fontId="0" fillId="0" borderId="0" xfId="0" applyNumberFormat="1"/>
    <xf numFmtId="164" fontId="3" fillId="0" borderId="0" xfId="2" applyNumberFormat="1" applyFill="1"/>
    <xf numFmtId="164" fontId="0" fillId="0" borderId="2" xfId="0" applyNumberFormat="1" applyBorder="1"/>
    <xf numFmtId="164" fontId="0" fillId="0" borderId="4" xfId="0" applyNumberFormat="1" applyFont="1" applyBorder="1"/>
    <xf numFmtId="0" fontId="7" fillId="0" borderId="0" xfId="0" applyFont="1" applyFill="1" applyBorder="1" applyAlignment="1"/>
    <xf numFmtId="167" fontId="2" fillId="9" borderId="5" xfId="0" applyNumberFormat="1" applyFont="1" applyFill="1" applyBorder="1"/>
    <xf numFmtId="0" fontId="6" fillId="13" borderId="31" xfId="3" applyFont="1" applyFill="1" applyBorder="1" applyAlignment="1"/>
    <xf numFmtId="0" fontId="7" fillId="13" borderId="31" xfId="3" applyFont="1" applyFill="1" applyBorder="1" applyAlignment="1">
      <alignment horizontal="right"/>
    </xf>
    <xf numFmtId="170" fontId="0" fillId="0" borderId="31" xfId="0" applyNumberFormat="1" applyBorder="1"/>
    <xf numFmtId="169" fontId="0" fillId="0" borderId="31" xfId="0" applyNumberFormat="1" applyBorder="1"/>
    <xf numFmtId="168" fontId="0" fillId="0" borderId="31" xfId="0" applyNumberFormat="1" applyBorder="1"/>
    <xf numFmtId="0" fontId="7" fillId="11" borderId="31" xfId="3" applyFont="1" applyFill="1" applyBorder="1" applyAlignment="1">
      <alignment horizontal="right"/>
    </xf>
    <xf numFmtId="164" fontId="0" fillId="0" borderId="31" xfId="0" applyNumberFormat="1" applyBorder="1"/>
    <xf numFmtId="164" fontId="0" fillId="0" borderId="31" xfId="0" applyNumberFormat="1" applyFill="1" applyBorder="1"/>
    <xf numFmtId="170" fontId="0" fillId="0" borderId="33" xfId="0" applyNumberFormat="1" applyBorder="1"/>
    <xf numFmtId="170" fontId="0" fillId="0" borderId="32" xfId="0" applyNumberFormat="1" applyBorder="1"/>
    <xf numFmtId="0" fontId="7" fillId="11" borderId="34" xfId="3" applyFont="1" applyFill="1" applyBorder="1" applyAlignment="1">
      <alignment horizontal="right"/>
    </xf>
    <xf numFmtId="0" fontId="7" fillId="11" borderId="35" xfId="3" applyFont="1" applyFill="1" applyBorder="1" applyAlignment="1">
      <alignment horizontal="right"/>
    </xf>
    <xf numFmtId="0" fontId="7" fillId="11" borderId="36" xfId="3" applyFont="1" applyFill="1" applyBorder="1" applyAlignment="1">
      <alignment horizontal="right"/>
    </xf>
    <xf numFmtId="0" fontId="7" fillId="0" borderId="0" xfId="0" applyFont="1" applyBorder="1"/>
    <xf numFmtId="0" fontId="9" fillId="7" borderId="37" xfId="0" applyFont="1" applyFill="1" applyBorder="1" applyAlignment="1">
      <alignment horizontal="center"/>
    </xf>
    <xf numFmtId="0" fontId="10" fillId="14" borderId="37" xfId="5" applyFont="1" applyFill="1" applyBorder="1" applyAlignment="1"/>
    <xf numFmtId="0" fontId="22" fillId="14" borderId="37" xfId="5" applyFont="1" applyFill="1" applyBorder="1" applyAlignment="1"/>
    <xf numFmtId="0" fontId="0" fillId="0" borderId="37" xfId="0" applyBorder="1"/>
    <xf numFmtId="0" fontId="9" fillId="0" borderId="37" xfId="0" applyFont="1" applyFill="1" applyBorder="1"/>
    <xf numFmtId="0" fontId="9" fillId="7" borderId="37" xfId="0" applyFont="1" applyFill="1" applyBorder="1"/>
    <xf numFmtId="0" fontId="9" fillId="0" borderId="37" xfId="0" applyFont="1" applyFill="1" applyBorder="1" applyAlignment="1">
      <alignment horizontal="right"/>
    </xf>
    <xf numFmtId="0" fontId="9" fillId="7" borderId="37" xfId="0" applyFont="1" applyFill="1" applyBorder="1" applyAlignment="1">
      <alignment horizontal="right"/>
    </xf>
    <xf numFmtId="49" fontId="9" fillId="0" borderId="37" xfId="0" applyNumberFormat="1" applyFont="1" applyFill="1" applyBorder="1" applyAlignment="1">
      <alignment horizontal="right"/>
    </xf>
    <xf numFmtId="49" fontId="9" fillId="7" borderId="37" xfId="0" applyNumberFormat="1" applyFont="1" applyFill="1" applyBorder="1" applyAlignment="1">
      <alignment horizontal="right"/>
    </xf>
    <xf numFmtId="0" fontId="0" fillId="0" borderId="37" xfId="0" applyFill="1" applyBorder="1"/>
    <xf numFmtId="0" fontId="7" fillId="0" borderId="39" xfId="0" applyFont="1" applyBorder="1"/>
    <xf numFmtId="0" fontId="10" fillId="14" borderId="40" xfId="5" applyFont="1" applyFill="1" applyBorder="1" applyAlignment="1"/>
    <xf numFmtId="0" fontId="22" fillId="14" borderId="40" xfId="5" applyFont="1" applyFill="1" applyBorder="1" applyAlignment="1"/>
    <xf numFmtId="0" fontId="11" fillId="12" borderId="38" xfId="5" applyFont="1" applyFill="1" applyBorder="1" applyAlignment="1"/>
    <xf numFmtId="0" fontId="15" fillId="12" borderId="38" xfId="5" applyFont="1" applyFill="1" applyBorder="1" applyAlignment="1">
      <alignment vertical="center"/>
    </xf>
    <xf numFmtId="0" fontId="15" fillId="15" borderId="0" xfId="2" applyFont="1" applyFill="1" applyAlignment="1">
      <alignment horizontal="left"/>
    </xf>
    <xf numFmtId="0" fontId="15" fillId="3" borderId="0" xfId="2" applyFont="1" applyAlignment="1"/>
    <xf numFmtId="0" fontId="6" fillId="0" borderId="0" xfId="3" applyFont="1" applyFill="1" applyAlignment="1">
      <alignment horizontal="left"/>
    </xf>
    <xf numFmtId="0" fontId="0" fillId="0" borderId="40" xfId="0" applyBorder="1"/>
    <xf numFmtId="0" fontId="0" fillId="0" borderId="42" xfId="0" applyBorder="1"/>
    <xf numFmtId="0" fontId="0" fillId="0" borderId="41" xfId="0" applyBorder="1"/>
    <xf numFmtId="0" fontId="0" fillId="0" borderId="43" xfId="0" applyBorder="1"/>
    <xf numFmtId="0" fontId="0" fillId="0" borderId="44" xfId="0" applyBorder="1"/>
    <xf numFmtId="167" fontId="21" fillId="0" borderId="0" xfId="0" applyNumberFormat="1" applyFont="1"/>
    <xf numFmtId="169" fontId="9" fillId="7" borderId="37" xfId="0" applyNumberFormat="1" applyFont="1" applyFill="1" applyBorder="1"/>
    <xf numFmtId="2" fontId="9" fillId="7" borderId="37" xfId="0" applyNumberFormat="1" applyFont="1" applyFill="1" applyBorder="1"/>
    <xf numFmtId="2" fontId="9" fillId="7" borderId="37" xfId="0" applyNumberFormat="1" applyFont="1" applyFill="1" applyBorder="1" applyAlignment="1">
      <alignment horizontal="right"/>
    </xf>
    <xf numFmtId="1" fontId="9" fillId="7" borderId="37" xfId="0" applyNumberFormat="1" applyFont="1" applyFill="1" applyBorder="1"/>
    <xf numFmtId="0" fontId="15" fillId="3" borderId="30" xfId="2" applyFont="1" applyBorder="1" applyAlignment="1"/>
    <xf numFmtId="0" fontId="15" fillId="3" borderId="0" xfId="2" applyFont="1" applyBorder="1" applyAlignment="1"/>
    <xf numFmtId="167" fontId="7" fillId="8" borderId="13" xfId="1" applyNumberFormat="1" applyFont="1" applyFill="1" applyBorder="1" applyAlignment="1"/>
    <xf numFmtId="167" fontId="7" fillId="8" borderId="14" xfId="1" applyNumberFormat="1" applyFont="1" applyFill="1" applyBorder="1" applyAlignment="1"/>
    <xf numFmtId="0" fontId="11" fillId="0" borderId="0" xfId="2" applyFont="1" applyFill="1" applyAlignment="1">
      <alignment vertical="center" wrapText="1"/>
    </xf>
    <xf numFmtId="167" fontId="0" fillId="8" borderId="5" xfId="0" applyNumberFormat="1" applyFont="1" applyFill="1" applyBorder="1"/>
    <xf numFmtId="0" fontId="0" fillId="0" borderId="3" xfId="0" applyFill="1" applyBorder="1"/>
    <xf numFmtId="0" fontId="0" fillId="0" borderId="40" xfId="0" applyFill="1" applyBorder="1"/>
    <xf numFmtId="0" fontId="0" fillId="0" borderId="0" xfId="0" applyAlignment="1">
      <alignment horizontal="right"/>
    </xf>
    <xf numFmtId="0" fontId="25" fillId="3" borderId="66" xfId="2" applyFont="1" applyBorder="1" applyAlignment="1">
      <alignment horizontal="center"/>
    </xf>
    <xf numFmtId="0" fontId="0" fillId="0" borderId="1" xfId="0" applyFont="1" applyBorder="1"/>
    <xf numFmtId="167" fontId="0" fillId="0" borderId="1" xfId="0" applyNumberFormat="1" applyFont="1" applyBorder="1"/>
    <xf numFmtId="0" fontId="16" fillId="3" borderId="0" xfId="2" applyFont="1" applyAlignment="1">
      <alignment vertical="center" wrapText="1"/>
    </xf>
    <xf numFmtId="0" fontId="25" fillId="3" borderId="66" xfId="2" applyFont="1" applyBorder="1" applyAlignment="1">
      <alignment horizontal="left"/>
    </xf>
    <xf numFmtId="0" fontId="2" fillId="0" borderId="1" xfId="0" applyFont="1" applyBorder="1"/>
    <xf numFmtId="0" fontId="0" fillId="0" borderId="70" xfId="0" applyFont="1" applyBorder="1"/>
    <xf numFmtId="167" fontId="2" fillId="9" borderId="71" xfId="0" applyNumberFormat="1" applyFont="1" applyFill="1" applyBorder="1"/>
    <xf numFmtId="0" fontId="25" fillId="3" borderId="66" xfId="2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0" fillId="0" borderId="70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39" xfId="0" applyBorder="1"/>
    <xf numFmtId="49" fontId="9" fillId="7" borderId="39" xfId="0" applyNumberFormat="1" applyFont="1" applyFill="1" applyBorder="1" applyAlignment="1">
      <alignment horizontal="right"/>
    </xf>
    <xf numFmtId="0" fontId="9" fillId="0" borderId="39" xfId="0" applyFont="1" applyFill="1" applyBorder="1" applyAlignment="1">
      <alignment horizontal="right"/>
    </xf>
    <xf numFmtId="0" fontId="26" fillId="0" borderId="37" xfId="0" applyFont="1" applyFill="1" applyBorder="1"/>
    <xf numFmtId="0" fontId="26" fillId="0" borderId="37" xfId="0" applyFont="1" applyFill="1" applyBorder="1" applyAlignment="1">
      <alignment horizontal="right"/>
    </xf>
    <xf numFmtId="0" fontId="0" fillId="0" borderId="17" xfId="0" applyFont="1" applyFill="1" applyBorder="1"/>
    <xf numFmtId="0" fontId="2" fillId="0" borderId="5" xfId="0" applyFont="1" applyFill="1" applyBorder="1"/>
    <xf numFmtId="0" fontId="2" fillId="0" borderId="17" xfId="0" applyFont="1" applyFill="1" applyBorder="1"/>
    <xf numFmtId="0" fontId="0" fillId="0" borderId="17" xfId="0" applyFont="1" applyBorder="1"/>
    <xf numFmtId="0" fontId="0" fillId="0" borderId="5" xfId="0" applyFont="1" applyBorder="1"/>
    <xf numFmtId="0" fontId="10" fillId="16" borderId="80" xfId="5" applyFont="1" applyFill="1" applyBorder="1" applyAlignment="1"/>
    <xf numFmtId="2" fontId="9" fillId="0" borderId="81" xfId="0" applyNumberFormat="1" applyFont="1" applyFill="1" applyBorder="1"/>
    <xf numFmtId="2" fontId="9" fillId="0" borderId="81" xfId="0" applyNumberFormat="1" applyFont="1" applyFill="1" applyBorder="1" applyAlignment="1">
      <alignment horizontal="right"/>
    </xf>
    <xf numFmtId="169" fontId="23" fillId="0" borderId="81" xfId="0" applyNumberFormat="1" applyFont="1" applyFill="1" applyBorder="1"/>
    <xf numFmtId="1" fontId="23" fillId="0" borderId="81" xfId="0" applyNumberFormat="1" applyFont="1" applyFill="1" applyBorder="1"/>
    <xf numFmtId="0" fontId="23" fillId="0" borderId="81" xfId="0" applyFont="1" applyFill="1" applyBorder="1"/>
    <xf numFmtId="0" fontId="9" fillId="0" borderId="81" xfId="0" applyFont="1" applyFill="1" applyBorder="1" applyAlignment="1">
      <alignment horizontal="center"/>
    </xf>
    <xf numFmtId="164" fontId="9" fillId="0" borderId="81" xfId="0" applyNumberFormat="1" applyFont="1" applyFill="1" applyBorder="1"/>
    <xf numFmtId="164" fontId="23" fillId="0" borderId="81" xfId="0" applyNumberFormat="1" applyFont="1" applyFill="1" applyBorder="1"/>
    <xf numFmtId="0" fontId="10" fillId="16" borderId="81" xfId="5" applyFont="1" applyFill="1" applyBorder="1" applyAlignment="1"/>
    <xf numFmtId="0" fontId="9" fillId="0" borderId="81" xfId="0" applyFont="1" applyBorder="1" applyAlignment="1">
      <alignment vertical="top"/>
    </xf>
    <xf numFmtId="0" fontId="0" fillId="0" borderId="81" xfId="0" applyBorder="1"/>
    <xf numFmtId="0" fontId="23" fillId="0" borderId="81" xfId="0" applyFont="1" applyBorder="1" applyAlignment="1">
      <alignment vertical="top"/>
    </xf>
    <xf numFmtId="0" fontId="23" fillId="0" borderId="81" xfId="0" applyFont="1" applyBorder="1"/>
    <xf numFmtId="0" fontId="15" fillId="16" borderId="81" xfId="4" applyFont="1" applyFill="1" applyBorder="1" applyAlignment="1"/>
    <xf numFmtId="164" fontId="0" fillId="0" borderId="81" xfId="0" applyNumberFormat="1" applyBorder="1"/>
    <xf numFmtId="164" fontId="0" fillId="0" borderId="80" xfId="0" applyNumberFormat="1" applyBorder="1"/>
    <xf numFmtId="164" fontId="0" fillId="0" borderId="82" xfId="0" applyNumberFormat="1" applyBorder="1"/>
    <xf numFmtId="0" fontId="0" fillId="0" borderId="80" xfId="0" applyBorder="1"/>
    <xf numFmtId="164" fontId="0" fillId="0" borderId="83" xfId="0" applyNumberFormat="1" applyFont="1" applyBorder="1"/>
    <xf numFmtId="174" fontId="28" fillId="9" borderId="5" xfId="0" applyNumberFormat="1" applyFont="1" applyFill="1" applyBorder="1"/>
    <xf numFmtId="0" fontId="15" fillId="10" borderId="0" xfId="2" applyFont="1" applyFill="1" applyBorder="1" applyAlignment="1"/>
    <xf numFmtId="0" fontId="15" fillId="10" borderId="84" xfId="2" applyFont="1" applyFill="1" applyBorder="1" applyAlignment="1"/>
    <xf numFmtId="0" fontId="15" fillId="17" borderId="85" xfId="2" applyFont="1" applyFill="1" applyBorder="1" applyAlignment="1"/>
    <xf numFmtId="0" fontId="15" fillId="17" borderId="86" xfId="2" applyFont="1" applyFill="1" applyBorder="1" applyAlignment="1"/>
    <xf numFmtId="167" fontId="0" fillId="9" borderId="5" xfId="0" applyNumberFormat="1" applyFont="1" applyFill="1" applyBorder="1"/>
    <xf numFmtId="167" fontId="0" fillId="9" borderId="18" xfId="0" applyNumberFormat="1" applyFont="1" applyFill="1" applyBorder="1"/>
    <xf numFmtId="167" fontId="13" fillId="8" borderId="18" xfId="1" applyNumberFormat="1" applyFont="1" applyFill="1" applyBorder="1" applyAlignment="1">
      <alignment horizontal="right"/>
    </xf>
    <xf numFmtId="167" fontId="7" fillId="8" borderId="18" xfId="1" applyNumberFormat="1" applyFont="1" applyFill="1" applyBorder="1" applyAlignment="1">
      <alignment horizontal="right"/>
    </xf>
    <xf numFmtId="167" fontId="0" fillId="9" borderId="6" xfId="0" applyNumberFormat="1" applyFont="1" applyFill="1" applyBorder="1"/>
    <xf numFmtId="167" fontId="7" fillId="9" borderId="5" xfId="0" applyNumberFormat="1" applyFont="1" applyFill="1" applyBorder="1"/>
    <xf numFmtId="167" fontId="7" fillId="9" borderId="71" xfId="0" applyNumberFormat="1" applyFont="1" applyFill="1" applyBorder="1"/>
    <xf numFmtId="0" fontId="31" fillId="0" borderId="1" xfId="0" applyFont="1" applyBorder="1" applyAlignment="1">
      <alignment horizontal="center"/>
    </xf>
    <xf numFmtId="167" fontId="2" fillId="0" borderId="0" xfId="0" applyNumberFormat="1" applyFont="1" applyFill="1" applyBorder="1"/>
    <xf numFmtId="167" fontId="13" fillId="8" borderId="0" xfId="1" applyNumberFormat="1" applyFont="1" applyFill="1" applyBorder="1" applyAlignment="1">
      <alignment horizontal="right"/>
    </xf>
    <xf numFmtId="167" fontId="0" fillId="8" borderId="87" xfId="0" applyNumberFormat="1" applyFont="1" applyFill="1" applyBorder="1"/>
    <xf numFmtId="167" fontId="2" fillId="8" borderId="87" xfId="0" applyNumberFormat="1" applyFont="1" applyFill="1" applyBorder="1"/>
    <xf numFmtId="167" fontId="2" fillId="8" borderId="88" xfId="0" applyNumberFormat="1" applyFont="1" applyFill="1" applyBorder="1"/>
    <xf numFmtId="167" fontId="2" fillId="8" borderId="89" xfId="0" applyNumberFormat="1" applyFont="1" applyFill="1" applyBorder="1"/>
    <xf numFmtId="167" fontId="13" fillId="8" borderId="88" xfId="1" applyNumberFormat="1" applyFont="1" applyFill="1" applyBorder="1" applyAlignment="1">
      <alignment horizontal="right"/>
    </xf>
    <xf numFmtId="167" fontId="0" fillId="0" borderId="0" xfId="0" applyNumberFormat="1" applyFont="1" applyFill="1" applyBorder="1"/>
    <xf numFmtId="167" fontId="13" fillId="8" borderId="90" xfId="1" applyNumberFormat="1" applyFont="1" applyFill="1" applyBorder="1" applyAlignment="1">
      <alignment horizontal="right"/>
    </xf>
    <xf numFmtId="167" fontId="0" fillId="18" borderId="91" xfId="0" applyNumberFormat="1" applyFont="1" applyFill="1" applyBorder="1"/>
    <xf numFmtId="167" fontId="2" fillId="18" borderId="91" xfId="0" applyNumberFormat="1" applyFont="1" applyFill="1" applyBorder="1"/>
    <xf numFmtId="167" fontId="2" fillId="18" borderId="90" xfId="0" applyNumberFormat="1" applyFont="1" applyFill="1" applyBorder="1"/>
    <xf numFmtId="167" fontId="2" fillId="18" borderId="92" xfId="0" applyNumberFormat="1" applyFont="1" applyFill="1" applyBorder="1"/>
    <xf numFmtId="2" fontId="19" fillId="8" borderId="5" xfId="0" applyNumberFormat="1" applyFont="1" applyFill="1" applyBorder="1"/>
    <xf numFmtId="2" fontId="28" fillId="9" borderId="5" xfId="0" applyNumberFormat="1" applyFont="1" applyFill="1" applyBorder="1"/>
    <xf numFmtId="0" fontId="0" fillId="0" borderId="43" xfId="0" applyNumberFormat="1" applyFont="1" applyFill="1" applyBorder="1" applyAlignment="1">
      <alignment horizontal="left"/>
    </xf>
    <xf numFmtId="173" fontId="7" fillId="0" borderId="27" xfId="0" applyNumberFormat="1" applyFont="1" applyFill="1" applyBorder="1" applyAlignment="1">
      <alignment horizontal="left"/>
    </xf>
    <xf numFmtId="173" fontId="7" fillId="0" borderId="28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horizontal="left"/>
    </xf>
    <xf numFmtId="0" fontId="7" fillId="0" borderId="39" xfId="0" applyFont="1" applyBorder="1" applyAlignment="1"/>
    <xf numFmtId="0" fontId="0" fillId="0" borderId="37" xfId="0" applyBorder="1" applyAlignment="1"/>
    <xf numFmtId="0" fontId="9" fillId="0" borderId="72" xfId="0" applyFont="1" applyBorder="1" applyAlignment="1"/>
    <xf numFmtId="0" fontId="9" fillId="0" borderId="72" xfId="0" applyFont="1" applyBorder="1" applyAlignment="1">
      <alignment wrapText="1"/>
    </xf>
    <xf numFmtId="0" fontId="9" fillId="0" borderId="72" xfId="0" applyFont="1" applyFill="1" applyBorder="1" applyAlignment="1">
      <alignment wrapText="1"/>
    </xf>
    <xf numFmtId="0" fontId="9" fillId="0" borderId="73" xfId="0" applyFont="1" applyBorder="1" applyAlignment="1"/>
    <xf numFmtId="167" fontId="32" fillId="8" borderId="18" xfId="1" applyNumberFormat="1" applyFont="1" applyFill="1" applyBorder="1" applyAlignment="1">
      <alignment horizontal="right"/>
    </xf>
    <xf numFmtId="167" fontId="33" fillId="9" borderId="5" xfId="0" applyNumberFormat="1" applyFont="1" applyFill="1" applyBorder="1"/>
    <xf numFmtId="167" fontId="33" fillId="9" borderId="18" xfId="0" applyNumberFormat="1" applyFont="1" applyFill="1" applyBorder="1"/>
    <xf numFmtId="167" fontId="7" fillId="8" borderId="13" xfId="1" applyNumberFormat="1" applyFont="1" applyFill="1" applyBorder="1" applyAlignment="1">
      <alignment horizontal="right" wrapText="1"/>
    </xf>
    <xf numFmtId="167" fontId="7" fillId="4" borderId="5" xfId="3" applyNumberFormat="1" applyFont="1" applyBorder="1" applyAlignment="1">
      <alignment horizontal="left"/>
    </xf>
    <xf numFmtId="0" fontId="34" fillId="3" borderId="0" xfId="2" applyFont="1" applyAlignment="1">
      <alignment horizontal="right" vertical="center" wrapText="1"/>
    </xf>
    <xf numFmtId="0" fontId="9" fillId="0" borderId="93" xfId="0" applyFont="1" applyFill="1" applyBorder="1" applyAlignment="1">
      <alignment horizontal="center"/>
    </xf>
    <xf numFmtId="0" fontId="11" fillId="12" borderId="95" xfId="5" applyFont="1" applyFill="1" applyBorder="1" applyAlignment="1"/>
    <xf numFmtId="0" fontId="22" fillId="14" borderId="96" xfId="5" applyFont="1" applyFill="1" applyBorder="1" applyAlignment="1"/>
    <xf numFmtId="0" fontId="9" fillId="7" borderId="93" xfId="0" applyFont="1" applyFill="1" applyBorder="1" applyAlignment="1">
      <alignment horizontal="right"/>
    </xf>
    <xf numFmtId="0" fontId="9" fillId="7" borderId="93" xfId="0" applyFont="1" applyFill="1" applyBorder="1"/>
    <xf numFmtId="0" fontId="10" fillId="14" borderId="93" xfId="5" applyFont="1" applyFill="1" applyBorder="1" applyAlignment="1">
      <alignment horizontal="right"/>
    </xf>
    <xf numFmtId="0" fontId="9" fillId="0" borderId="93" xfId="0" applyFont="1" applyFill="1" applyBorder="1"/>
    <xf numFmtId="0" fontId="9" fillId="0" borderId="93" xfId="0" applyFont="1" applyFill="1" applyBorder="1" applyAlignment="1">
      <alignment horizontal="right"/>
    </xf>
    <xf numFmtId="0" fontId="0" fillId="0" borderId="40" xfId="0" applyBorder="1" applyAlignment="1">
      <alignment wrapText="1"/>
    </xf>
    <xf numFmtId="0" fontId="16" fillId="3" borderId="0" xfId="2" applyFont="1" applyAlignment="1">
      <alignment horizontal="right" vertical="center" wrapText="1"/>
    </xf>
    <xf numFmtId="0" fontId="20" fillId="3" borderId="0" xfId="2" applyFont="1" applyAlignment="1">
      <alignment horizontal="center" vertical="center" wrapText="1"/>
    </xf>
    <xf numFmtId="176" fontId="9" fillId="0" borderId="93" xfId="0" applyNumberFormat="1" applyFont="1" applyFill="1" applyBorder="1"/>
    <xf numFmtId="0" fontId="14" fillId="7" borderId="59" xfId="0" applyFont="1" applyFill="1" applyBorder="1"/>
    <xf numFmtId="0" fontId="14" fillId="7" borderId="60" xfId="0" applyFont="1" applyFill="1" applyBorder="1"/>
    <xf numFmtId="0" fontId="7" fillId="0" borderId="50" xfId="0" applyFont="1" applyBorder="1" applyAlignment="1">
      <alignment horizontal="left"/>
    </xf>
    <xf numFmtId="0" fontId="7" fillId="0" borderId="51" xfId="0" applyFont="1" applyBorder="1" applyAlignment="1">
      <alignment horizontal="left"/>
    </xf>
    <xf numFmtId="0" fontId="7" fillId="0" borderId="52" xfId="0" applyFont="1" applyBorder="1" applyAlignment="1">
      <alignment horizontal="left"/>
    </xf>
    <xf numFmtId="0" fontId="7" fillId="0" borderId="77" xfId="0" applyFont="1" applyBorder="1" applyAlignment="1">
      <alignment horizontal="left"/>
    </xf>
    <xf numFmtId="0" fontId="7" fillId="0" borderId="78" xfId="0" applyFont="1" applyBorder="1" applyAlignment="1">
      <alignment horizontal="left"/>
    </xf>
    <xf numFmtId="0" fontId="7" fillId="0" borderId="79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2" fillId="2" borderId="6" xfId="1" applyFont="1" applyBorder="1" applyAlignment="1">
      <alignment horizontal="left"/>
    </xf>
    <xf numFmtId="0" fontId="2" fillId="2" borderId="7" xfId="1" applyFont="1" applyBorder="1" applyAlignment="1">
      <alignment horizontal="left"/>
    </xf>
    <xf numFmtId="0" fontId="2" fillId="2" borderId="8" xfId="1" applyFont="1" applyBorder="1" applyAlignment="1">
      <alignment horizontal="left"/>
    </xf>
    <xf numFmtId="0" fontId="0" fillId="0" borderId="9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49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6" fillId="4" borderId="6" xfId="3" applyFont="1" applyBorder="1" applyAlignment="1">
      <alignment horizontal="left"/>
    </xf>
    <xf numFmtId="0" fontId="6" fillId="4" borderId="7" xfId="3" applyFont="1" applyBorder="1" applyAlignment="1">
      <alignment horizontal="left"/>
    </xf>
    <xf numFmtId="0" fontId="6" fillId="4" borderId="8" xfId="3" applyFont="1" applyBorder="1" applyAlignment="1">
      <alignment horizontal="left"/>
    </xf>
    <xf numFmtId="0" fontId="7" fillId="0" borderId="45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left" vertical="center"/>
    </xf>
    <xf numFmtId="0" fontId="7" fillId="0" borderId="47" xfId="0" applyFont="1" applyFill="1" applyBorder="1" applyAlignment="1">
      <alignment horizontal="left" vertical="center"/>
    </xf>
    <xf numFmtId="175" fontId="7" fillId="0" borderId="6" xfId="0" applyNumberFormat="1" applyFont="1" applyBorder="1" applyAlignment="1">
      <alignment horizontal="left"/>
    </xf>
    <xf numFmtId="175" fontId="7" fillId="0" borderId="7" xfId="0" applyNumberFormat="1" applyFont="1" applyBorder="1" applyAlignment="1">
      <alignment horizontal="left"/>
    </xf>
    <xf numFmtId="175" fontId="7" fillId="0" borderId="8" xfId="0" applyNumberFormat="1" applyFont="1" applyBorder="1" applyAlignment="1">
      <alignment horizontal="left"/>
    </xf>
    <xf numFmtId="0" fontId="0" fillId="0" borderId="6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0" fillId="0" borderId="53" xfId="0" applyFill="1" applyBorder="1" applyAlignment="1">
      <alignment horizontal="left"/>
    </xf>
    <xf numFmtId="0" fontId="0" fillId="0" borderId="54" xfId="0" applyFill="1" applyBorder="1" applyAlignment="1">
      <alignment horizontal="left"/>
    </xf>
    <xf numFmtId="0" fontId="0" fillId="0" borderId="55" xfId="0" applyFill="1" applyBorder="1" applyAlignment="1">
      <alignment horizontal="left"/>
    </xf>
    <xf numFmtId="0" fontId="15" fillId="3" borderId="0" xfId="2" applyFont="1" applyAlignment="1">
      <alignment horizontal="left"/>
    </xf>
    <xf numFmtId="171" fontId="17" fillId="9" borderId="5" xfId="0" applyNumberFormat="1" applyFont="1" applyFill="1" applyBorder="1" applyAlignment="1">
      <alignment horizontal="center" vertical="center" wrapText="1"/>
    </xf>
    <xf numFmtId="0" fontId="20" fillId="3" borderId="10" xfId="2" applyFont="1" applyBorder="1" applyAlignment="1">
      <alignment horizontal="center" vertical="center" wrapText="1"/>
    </xf>
    <xf numFmtId="0" fontId="20" fillId="3" borderId="11" xfId="2" applyFont="1" applyBorder="1" applyAlignment="1">
      <alignment horizontal="center" vertical="center" wrapText="1"/>
    </xf>
    <xf numFmtId="0" fontId="20" fillId="3" borderId="12" xfId="2" applyFont="1" applyBorder="1" applyAlignment="1">
      <alignment horizontal="center" vertical="center" wrapText="1"/>
    </xf>
    <xf numFmtId="0" fontId="20" fillId="3" borderId="13" xfId="2" applyFont="1" applyBorder="1" applyAlignment="1">
      <alignment horizontal="center" vertical="center" wrapText="1"/>
    </xf>
    <xf numFmtId="0" fontId="20" fillId="3" borderId="14" xfId="2" applyFont="1" applyBorder="1" applyAlignment="1">
      <alignment horizontal="center" vertical="center" wrapText="1"/>
    </xf>
    <xf numFmtId="0" fontId="20" fillId="3" borderId="15" xfId="2" applyFont="1" applyBorder="1" applyAlignment="1">
      <alignment horizontal="center" vertical="center" wrapText="1"/>
    </xf>
    <xf numFmtId="0" fontId="6" fillId="0" borderId="29" xfId="3" applyFont="1" applyFill="1" applyBorder="1" applyAlignment="1">
      <alignment horizontal="left"/>
    </xf>
    <xf numFmtId="0" fontId="7" fillId="0" borderId="56" xfId="0" applyFont="1" applyBorder="1" applyAlignment="1">
      <alignment horizontal="left"/>
    </xf>
    <xf numFmtId="0" fontId="7" fillId="0" borderId="57" xfId="0" applyFont="1" applyBorder="1" applyAlignment="1">
      <alignment horizontal="left"/>
    </xf>
    <xf numFmtId="0" fontId="7" fillId="0" borderId="58" xfId="0" applyFont="1" applyBorder="1" applyAlignment="1">
      <alignment horizontal="left"/>
    </xf>
    <xf numFmtId="0" fontId="7" fillId="0" borderId="26" xfId="0" applyNumberFormat="1" applyFont="1" applyFill="1" applyBorder="1" applyAlignment="1">
      <alignment horizontal="left" vertical="center"/>
    </xf>
    <xf numFmtId="0" fontId="7" fillId="0" borderId="27" xfId="0" applyNumberFormat="1" applyFont="1" applyFill="1" applyBorder="1" applyAlignment="1">
      <alignment horizontal="left" vertic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165" fontId="7" fillId="0" borderId="26" xfId="0" applyNumberFormat="1" applyFont="1" applyFill="1" applyBorder="1" applyAlignment="1">
      <alignment horizontal="left"/>
    </xf>
    <xf numFmtId="165" fontId="7" fillId="0" borderId="27" xfId="0" applyNumberFormat="1" applyFont="1" applyFill="1" applyBorder="1" applyAlignment="1">
      <alignment horizontal="left"/>
    </xf>
    <xf numFmtId="165" fontId="7" fillId="0" borderId="28" xfId="0" applyNumberFormat="1" applyFont="1" applyFill="1" applyBorder="1" applyAlignment="1">
      <alignment horizontal="left"/>
    </xf>
    <xf numFmtId="165" fontId="7" fillId="0" borderId="23" xfId="0" applyNumberFormat="1" applyFont="1" applyBorder="1" applyAlignment="1">
      <alignment horizontal="left"/>
    </xf>
    <xf numFmtId="165" fontId="7" fillId="0" borderId="24" xfId="0" applyNumberFormat="1" applyFont="1" applyBorder="1" applyAlignment="1">
      <alignment horizontal="left"/>
    </xf>
    <xf numFmtId="165" fontId="7" fillId="0" borderId="25" xfId="0" applyNumberFormat="1" applyFont="1" applyBorder="1" applyAlignment="1">
      <alignment horizontal="left"/>
    </xf>
    <xf numFmtId="0" fontId="30" fillId="0" borderId="81" xfId="0" applyFont="1" applyBorder="1" applyAlignment="1">
      <alignment horizontal="left"/>
    </xf>
    <xf numFmtId="0" fontId="7" fillId="0" borderId="81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59" xfId="0" quotePrefix="1" applyFont="1" applyBorder="1" applyAlignment="1">
      <alignment horizontal="left" vertical="center" wrapText="1"/>
    </xf>
    <xf numFmtId="0" fontId="7" fillId="0" borderId="60" xfId="0" quotePrefix="1" applyFont="1" applyBorder="1" applyAlignment="1">
      <alignment horizontal="left" vertical="center" wrapText="1"/>
    </xf>
    <xf numFmtId="0" fontId="7" fillId="0" borderId="61" xfId="0" quotePrefix="1" applyFont="1" applyBorder="1" applyAlignment="1">
      <alignment horizontal="left" vertical="center" wrapText="1"/>
    </xf>
    <xf numFmtId="0" fontId="7" fillId="0" borderId="74" xfId="0" quotePrefix="1" applyFont="1" applyFill="1" applyBorder="1" applyAlignment="1">
      <alignment horizontal="left" vertical="center" wrapText="1"/>
    </xf>
    <xf numFmtId="0" fontId="7" fillId="0" borderId="75" xfId="0" quotePrefix="1" applyFont="1" applyFill="1" applyBorder="1" applyAlignment="1">
      <alignment horizontal="left" vertical="center" wrapText="1"/>
    </xf>
    <xf numFmtId="0" fontId="7" fillId="0" borderId="76" xfId="0" quotePrefix="1" applyFont="1" applyFill="1" applyBorder="1" applyAlignment="1">
      <alignment horizontal="left" vertical="center" wrapText="1"/>
    </xf>
    <xf numFmtId="0" fontId="7" fillId="0" borderId="81" xfId="0" quotePrefix="1" applyFont="1" applyBorder="1" applyAlignment="1">
      <alignment horizontal="left" vertical="center" wrapText="1"/>
    </xf>
    <xf numFmtId="0" fontId="7" fillId="0" borderId="59" xfId="0" applyFont="1" applyBorder="1" applyAlignment="1">
      <alignment horizontal="left"/>
    </xf>
    <xf numFmtId="0" fontId="7" fillId="0" borderId="60" xfId="0" applyFont="1" applyBorder="1" applyAlignment="1">
      <alignment horizontal="left"/>
    </xf>
    <xf numFmtId="0" fontId="7" fillId="0" borderId="61" xfId="0" applyFont="1" applyBorder="1" applyAlignment="1">
      <alignment horizontal="left"/>
    </xf>
    <xf numFmtId="0" fontId="24" fillId="0" borderId="59" xfId="0" quotePrefix="1" applyFont="1" applyFill="1" applyBorder="1" applyAlignment="1">
      <alignment horizontal="left" vertical="center" wrapText="1"/>
    </xf>
    <xf numFmtId="0" fontId="24" fillId="0" borderId="60" xfId="0" quotePrefix="1" applyFont="1" applyFill="1" applyBorder="1" applyAlignment="1">
      <alignment horizontal="left" vertical="center" wrapText="1"/>
    </xf>
    <xf numFmtId="0" fontId="24" fillId="0" borderId="61" xfId="0" quotePrefix="1" applyFont="1" applyFill="1" applyBorder="1" applyAlignment="1">
      <alignment horizontal="left" vertical="center" wrapText="1"/>
    </xf>
    <xf numFmtId="0" fontId="7" fillId="0" borderId="59" xfId="0" applyFont="1" applyBorder="1" applyAlignment="1">
      <alignment horizontal="left" vertical="center" wrapText="1"/>
    </xf>
    <xf numFmtId="0" fontId="7" fillId="0" borderId="60" xfId="0" applyFont="1" applyBorder="1" applyAlignment="1">
      <alignment horizontal="left" vertical="center" wrapText="1"/>
    </xf>
    <xf numFmtId="0" fontId="7" fillId="0" borderId="61" xfId="0" applyFont="1" applyBorder="1" applyAlignment="1">
      <alignment horizontal="left" vertical="center" wrapText="1"/>
    </xf>
    <xf numFmtId="0" fontId="7" fillId="0" borderId="59" xfId="0" quotePrefix="1" applyFont="1" applyFill="1" applyBorder="1" applyAlignment="1">
      <alignment horizontal="left" vertical="center" wrapText="1"/>
    </xf>
    <xf numFmtId="0" fontId="7" fillId="0" borderId="60" xfId="0" quotePrefix="1" applyFont="1" applyFill="1" applyBorder="1" applyAlignment="1">
      <alignment horizontal="left" vertical="center" wrapText="1"/>
    </xf>
    <xf numFmtId="0" fontId="7" fillId="0" borderId="61" xfId="0" quotePrefix="1" applyFont="1" applyFill="1" applyBorder="1" applyAlignment="1">
      <alignment horizontal="left" vertical="center" wrapText="1"/>
    </xf>
    <xf numFmtId="0" fontId="16" fillId="19" borderId="0" xfId="2" applyFont="1" applyFill="1" applyAlignment="1">
      <alignment horizontal="left" vertical="center" wrapText="1"/>
    </xf>
    <xf numFmtId="0" fontId="14" fillId="7" borderId="59" xfId="0" applyFont="1" applyFill="1" applyBorder="1" applyAlignment="1">
      <alignment horizontal="center"/>
    </xf>
    <xf numFmtId="0" fontId="14" fillId="7" borderId="60" xfId="0" applyFont="1" applyFill="1" applyBorder="1" applyAlignment="1">
      <alignment horizontal="center"/>
    </xf>
    <xf numFmtId="0" fontId="14" fillId="7" borderId="61" xfId="0" applyFont="1" applyFill="1" applyBorder="1" applyAlignment="1">
      <alignment horizontal="center"/>
    </xf>
    <xf numFmtId="0" fontId="7" fillId="0" borderId="62" xfId="0" applyFont="1" applyBorder="1" applyAlignment="1">
      <alignment horizontal="left"/>
    </xf>
    <xf numFmtId="0" fontId="7" fillId="0" borderId="63" xfId="0" applyFont="1" applyBorder="1" applyAlignment="1">
      <alignment horizontal="left"/>
    </xf>
    <xf numFmtId="0" fontId="7" fillId="0" borderId="64" xfId="0" applyFont="1" applyBorder="1" applyAlignment="1">
      <alignment horizontal="left"/>
    </xf>
    <xf numFmtId="0" fontId="7" fillId="0" borderId="39" xfId="0" applyFont="1" applyBorder="1" applyAlignment="1">
      <alignment horizontal="center"/>
    </xf>
    <xf numFmtId="0" fontId="7" fillId="0" borderId="94" xfId="0" applyFont="1" applyBorder="1" applyAlignment="1">
      <alignment horizontal="center"/>
    </xf>
    <xf numFmtId="0" fontId="7" fillId="0" borderId="59" xfId="0" applyFont="1" applyBorder="1" applyAlignment="1">
      <alignment horizontal="left" wrapText="1"/>
    </xf>
    <xf numFmtId="0" fontId="7" fillId="0" borderId="60" xfId="0" applyFont="1" applyBorder="1" applyAlignment="1">
      <alignment horizontal="left" wrapText="1"/>
    </xf>
    <xf numFmtId="0" fontId="7" fillId="0" borderId="61" xfId="0" applyFont="1" applyBorder="1" applyAlignment="1">
      <alignment horizontal="left" wrapText="1"/>
    </xf>
    <xf numFmtId="0" fontId="16" fillId="3" borderId="0" xfId="2" applyFont="1" applyAlignment="1">
      <alignment horizontal="left" vertical="center" wrapText="1"/>
    </xf>
    <xf numFmtId="0" fontId="15" fillId="3" borderId="67" xfId="2" applyFont="1" applyBorder="1" applyAlignment="1">
      <alignment horizontal="center"/>
    </xf>
    <xf numFmtId="0" fontId="15" fillId="3" borderId="68" xfId="2" applyFont="1" applyBorder="1" applyAlignment="1">
      <alignment horizontal="center"/>
    </xf>
    <xf numFmtId="0" fontId="15" fillId="3" borderId="69" xfId="2" applyFont="1" applyBorder="1" applyAlignment="1">
      <alignment horizontal="center"/>
    </xf>
  </cellXfs>
  <cellStyles count="8">
    <cellStyle name="20 % - Akzent2" xfId="1" builtinId="34"/>
    <cellStyle name="20 % - Akzent3" xfId="3" builtinId="38"/>
    <cellStyle name="60 % - Akzent3" xfId="4" builtinId="40"/>
    <cellStyle name="Akzent3" xfId="2" builtinId="37"/>
    <cellStyle name="Akzent5" xfId="5" builtinId="45"/>
    <cellStyle name="Standard" xfId="0" builtinId="0"/>
    <cellStyle name="Standard 2" xfId="6" xr:uid="{00000000-0005-0000-0000-000006000000}"/>
    <cellStyle name="Standard 3" xfId="7" xr:uid="{00000000-0005-0000-0000-000007000000}"/>
  </cellStyles>
  <dxfs count="51">
    <dxf>
      <font>
        <b/>
        <i val="0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 val="0"/>
        <i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b val="0"/>
        <i val="0"/>
        <color auto="1"/>
      </font>
      <fill>
        <patternFill>
          <bgColor theme="0" tint="-0.14996795556505021"/>
        </patternFill>
      </fill>
    </dxf>
    <dxf>
      <numFmt numFmtId="173" formatCode="&quot;Radiengeschwindigkeiten berechnet für ü = 150 mm und aq = &quot;0.00&quot; m/s²:&quot;"/>
    </dxf>
    <dxf>
      <numFmt numFmtId="177" formatCode="&quot;Vitesses de référence dans les catégories de rayons calculées pour ü = 150 mm et aq = &quot;0.00&quot; m/s²:&quot;"/>
    </dxf>
    <dxf>
      <numFmt numFmtId="178" formatCode="&quot;Velocità radiali calcolate per ü = 150 mm e aq = &quot;0.00&quot; m/s²:&quot;"/>
    </dxf>
    <dxf>
      <numFmt numFmtId="179" formatCode="&quot;Radius speeds calculated for ü = 150 mm and aq = &quot;0.00&quot; m/s²:&quot;"/>
    </dxf>
    <dxf>
      <numFmt numFmtId="180" formatCode="&quot;V&gt;160: dyn. Radkraft bei V= &quot;00&quot; km/h&quot;"/>
    </dxf>
    <dxf>
      <numFmt numFmtId="181" formatCode="&quot;V&gt;160: forces de roues dynamiques à V= &quot;00.00&quot; km/h&quot;"/>
    </dxf>
    <dxf>
      <numFmt numFmtId="182" formatCode="&quot;V&gt;160: forza din. alla ruota ad una velocità V= &quot;00.00&quot; km/h&quot;"/>
    </dxf>
    <dxf>
      <numFmt numFmtId="183" formatCode="&quot;V&gt;160: dynamic wheel force when V= &quot;00.00&quot; km/h&quot;"/>
    </dxf>
    <dxf>
      <numFmt numFmtId="184" formatCode="&quot;V140-160: dyn. Radkraft bei V= &quot;00&quot; km/h&quot;"/>
    </dxf>
    <dxf>
      <numFmt numFmtId="185" formatCode="&quot;V140-160: forces de roues dynamiques à V= &quot;00.00&quot; km/h&quot;"/>
    </dxf>
    <dxf>
      <numFmt numFmtId="186" formatCode="&quot;V140-160: forza din. alla ruota ad una velocità V= &quot;00.00&quot; km/h&quot;"/>
    </dxf>
    <dxf>
      <numFmt numFmtId="187" formatCode="&quot;V140-160: dynamic wheel force when V= &quot;00.00&quot; km/h&quot;"/>
    </dxf>
    <dxf>
      <numFmt numFmtId="188" formatCode="&quot;V120-140: dyn. Radkraft bei V= &quot;00&quot; km/h&quot;"/>
    </dxf>
    <dxf>
      <numFmt numFmtId="189" formatCode="&quot;V120-140: forces de roues dynamiques à V= &quot;00.00&quot; km/h&quot;"/>
    </dxf>
    <dxf>
      <numFmt numFmtId="190" formatCode="&quot;V120-140: forza din. alla ruota ad una velocità V= &quot;00.00&quot; km/h&quot;"/>
    </dxf>
    <dxf>
      <numFmt numFmtId="191" formatCode="&quot;V120-140: dynamic wheel force when V= &quot;00.00&quot; km/h&quot;"/>
    </dxf>
    <dxf>
      <numFmt numFmtId="192" formatCode="&quot;V100-120: dyn. Radkraft bei V= &quot;00&quot; km/h&quot;"/>
    </dxf>
    <dxf>
      <numFmt numFmtId="193" formatCode="&quot;V100-120: forces de roues dynamiques à V= &quot;00.00&quot; km/h&quot;"/>
    </dxf>
    <dxf>
      <numFmt numFmtId="194" formatCode="&quot;V100-120: forza din. alla ruota ad una velocità V= &quot;00.00&quot; km/h&quot;"/>
    </dxf>
    <dxf>
      <numFmt numFmtId="195" formatCode="&quot;V100-120: dynamic wheel force when V= &quot;00.00&quot; km/h&quot;"/>
    </dxf>
    <dxf>
      <numFmt numFmtId="196" formatCode="&quot;V80-100: dyn. Radkraft bei V= &quot;00&quot; km/h&quot;"/>
    </dxf>
    <dxf>
      <numFmt numFmtId="197" formatCode="&quot;V80-100: forces de roues dynamiques à V= &quot;00.00&quot; km/h&quot;"/>
    </dxf>
    <dxf>
      <numFmt numFmtId="198" formatCode="&quot;V80-100: forza din. alla ruota ad una velocità V= &quot;00.00&quot; km/h&quot;"/>
    </dxf>
    <dxf>
      <numFmt numFmtId="199" formatCode="&quot;V80-100: dynamic wheel force when V= &quot;00.00&quot; km/h&quot;"/>
    </dxf>
    <dxf>
      <numFmt numFmtId="200" formatCode="&quot;V0-80: dyn. Radkraft bei V= &quot;00.00&quot; km/h&quot;"/>
    </dxf>
    <dxf>
      <numFmt numFmtId="201" formatCode="&quot;V0-80: forces de roues dynamiques à V= &quot;00.00&quot; km/h&quot;"/>
    </dxf>
    <dxf>
      <numFmt numFmtId="202" formatCode="&quot;V0-80: forza din. alla ruota ad una velocità V= &quot;00.00&quot; km/h&quot;"/>
    </dxf>
    <dxf>
      <numFmt numFmtId="203" formatCode="&quot;V0-80: dynamic wheel force when V= &quot;00.00&quot; km/h&quot;"/>
    </dxf>
    <dxf>
      <numFmt numFmtId="204" formatCode="&quot;dynamische Radkraft in Weichen bei V= &quot;00.00&quot; km/h&quot;"/>
    </dxf>
    <dxf>
      <numFmt numFmtId="205" formatCode="&quot;Forces de roues dynamiques sur aiguilles à V= &quot;00.00&quot; km/h&quot;"/>
    </dxf>
    <dxf>
      <numFmt numFmtId="206" formatCode="&quot;Forza dinamica alla ruota sugli scambi ad una velocità V= &quot;00.00&quot; km/h&quot;"/>
    </dxf>
    <dxf>
      <numFmt numFmtId="207" formatCode="&quot;Dynamic wheel force in points when V= &quot;00.00&quot; km/h&quot;"/>
    </dxf>
    <dxf>
      <numFmt numFmtId="172" formatCode="&quot;dynamische Radkraft bei V= &quot;00.00&quot; km/h&quot;"/>
    </dxf>
    <dxf>
      <numFmt numFmtId="208" formatCode="&quot;Forces de roues dynamiques à V= &quot;00.00&quot; km/h&quot;"/>
    </dxf>
    <dxf>
      <numFmt numFmtId="209" formatCode="&quot;Forza dinamica alla ruota con V= &quot;00.00&quot; km/h&quot;"/>
    </dxf>
    <dxf>
      <numFmt numFmtId="210" formatCode="&quot;Dynamic wheel force when V= &quot;00.00&quot; km/h&quot;"/>
    </dxf>
    <dxf>
      <numFmt numFmtId="211" formatCode="&quot;Spezifische Reibarbeit im Bezugsradius von &quot;00&quot; m&quot;"/>
    </dxf>
    <dxf>
      <numFmt numFmtId="212" formatCode="&quot;Frottement dans un rayon de référence de &quot;00&quot; m&quot;"/>
    </dxf>
    <dxf>
      <numFmt numFmtId="213" formatCode="&quot;Lavoro di attrito relativo ad un raggio di &quot;00&quot; m&quot;"/>
    </dxf>
    <dxf>
      <numFmt numFmtId="214" formatCode="&quot;Specific frictional energy in reference radius of &quot;00&quot; m&quot;"/>
    </dxf>
  </dxfs>
  <tableStyles count="0" defaultTableStyle="TableStyleMedium2" defaultPivotStyle="PivotStyleLight16"/>
  <colors>
    <mruColors>
      <color rgb="FFFFFFFF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</xdr:colOff>
      <xdr:row>60</xdr:row>
      <xdr:rowOff>22860</xdr:rowOff>
    </xdr:from>
    <xdr:to>
      <xdr:col>6</xdr:col>
      <xdr:colOff>624509</xdr:colOff>
      <xdr:row>60</xdr:row>
      <xdr:rowOff>526860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168" r="30258"/>
        <a:stretch/>
      </xdr:blipFill>
      <xdr:spPr bwMode="auto">
        <a:xfrm>
          <a:off x="5562600" y="9654540"/>
          <a:ext cx="2041829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22860</xdr:colOff>
      <xdr:row>46</xdr:row>
      <xdr:rowOff>30480</xdr:rowOff>
    </xdr:from>
    <xdr:to>
      <xdr:col>6</xdr:col>
      <xdr:colOff>411062</xdr:colOff>
      <xdr:row>46</xdr:row>
      <xdr:rowOff>318480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237" r="28374"/>
        <a:stretch/>
      </xdr:blipFill>
      <xdr:spPr bwMode="auto">
        <a:xfrm>
          <a:off x="5532120" y="9654540"/>
          <a:ext cx="185886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39443</xdr:colOff>
      <xdr:row>0</xdr:row>
      <xdr:rowOff>134475</xdr:rowOff>
    </xdr:from>
    <xdr:to>
      <xdr:col>34</xdr:col>
      <xdr:colOff>775403</xdr:colOff>
      <xdr:row>0</xdr:row>
      <xdr:rowOff>582705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496363" y="134475"/>
          <a:ext cx="4302120" cy="448230"/>
        </a:xfrm>
        <a:prstGeom prst="rect">
          <a:avLst/>
        </a:prstGeom>
      </xdr:spPr>
    </xdr:pic>
    <xdr:clientData/>
  </xdr:twoCellAnchor>
  <xdr:twoCellAnchor>
    <xdr:from>
      <xdr:col>3</xdr:col>
      <xdr:colOff>21022</xdr:colOff>
      <xdr:row>60</xdr:row>
      <xdr:rowOff>529357</xdr:rowOff>
    </xdr:from>
    <xdr:to>
      <xdr:col>5</xdr:col>
      <xdr:colOff>137160</xdr:colOff>
      <xdr:row>60</xdr:row>
      <xdr:rowOff>810346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76" r="36021"/>
        <a:stretch/>
      </xdr:blipFill>
      <xdr:spPr bwMode="auto">
        <a:xfrm>
          <a:off x="5530282" y="9654540"/>
          <a:ext cx="1312478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47097</xdr:colOff>
      <xdr:row>0</xdr:row>
      <xdr:rowOff>114300</xdr:rowOff>
    </xdr:from>
    <xdr:to>
      <xdr:col>14</xdr:col>
      <xdr:colOff>1153171</xdr:colOff>
      <xdr:row>0</xdr:row>
      <xdr:rowOff>562530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0077" y="114300"/>
          <a:ext cx="4275994" cy="4482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Design1">
  <a:themeElements>
    <a:clrScheme name="SBB">
      <a:dk1>
        <a:sysClr val="windowText" lastClr="000000"/>
      </a:dk1>
      <a:lt1>
        <a:sysClr val="window" lastClr="FFFFFF"/>
      </a:lt1>
      <a:dk2>
        <a:srgbClr val="B7B7B7"/>
      </a:dk2>
      <a:lt2>
        <a:srgbClr val="4C4C4C"/>
      </a:lt2>
      <a:accent1>
        <a:srgbClr val="ABADCB"/>
      </a:accent1>
      <a:accent2>
        <a:srgbClr val="6C6FA4"/>
      </a:accent2>
      <a:accent3>
        <a:srgbClr val="2D327D"/>
      </a:accent3>
      <a:accent4>
        <a:srgbClr val="FF9999"/>
      </a:accent4>
      <a:accent5>
        <a:srgbClr val="FF4C4C"/>
      </a:accent5>
      <a:accent6>
        <a:srgbClr val="FF0000"/>
      </a:accent6>
      <a:hlink>
        <a:srgbClr val="2D327D"/>
      </a:hlink>
      <a:folHlink>
        <a:srgbClr val="D5D6E5"/>
      </a:folHlink>
    </a:clrScheme>
    <a:fontScheme name="SBB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3"/>
        </a:solidFill>
        <a:ln>
          <a:noFill/>
        </a:ln>
      </a:spPr>
      <a:bodyPr wrap="square" lIns="216000" tIns="108000" rIns="432000" bIns="144000" rtlCol="0" anchor="t" anchorCtr="0">
        <a:spAutoFit/>
      </a:bodyPr>
      <a:lstStyle>
        <a:defPPr>
          <a:defRPr sz="2400" b="1" dirty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9525">
          <a:solidFill>
            <a:srgbClr val="B7B7B7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none" lIns="0" tIns="0" rIns="0" bIns="0" rtlCol="0">
        <a:spAutoFit/>
      </a:bodyPr>
      <a:lstStyle>
        <a:defPPr>
          <a:defRPr sz="2000" dirty="0" smtClean="0">
            <a:latin typeface="Arial" pitchFamily="34" charset="0"/>
            <a:cs typeface="Arial" pitchFamily="34" charset="0"/>
          </a:defRPr>
        </a:defPPr>
      </a:lstStyle>
    </a:txDef>
  </a:objectDefaults>
  <a:extraClrSchemeLst>
    <a:extraClrScheme>
      <a:clrScheme name="SBB">
        <a:dk1>
          <a:sysClr val="windowText" lastClr="000000"/>
        </a:dk1>
        <a:lt1>
          <a:sysClr val="window" lastClr="FFFFFF"/>
        </a:lt1>
        <a:dk2>
          <a:srgbClr val="B7B7B7"/>
        </a:dk2>
        <a:lt2>
          <a:srgbClr val="4C4C4C"/>
        </a:lt2>
        <a:accent1>
          <a:srgbClr val="ABADCB"/>
        </a:accent1>
        <a:accent2>
          <a:srgbClr val="6C6FA4"/>
        </a:accent2>
        <a:accent3>
          <a:srgbClr val="2D327D"/>
        </a:accent3>
        <a:accent4>
          <a:srgbClr val="FF9999"/>
        </a:accent4>
        <a:accent5>
          <a:srgbClr val="FF4C4C"/>
        </a:accent5>
        <a:accent6>
          <a:srgbClr val="FF0000"/>
        </a:accent6>
        <a:hlink>
          <a:srgbClr val="2D327D"/>
        </a:hlink>
        <a:folHlink>
          <a:srgbClr val="D5D6E5"/>
        </a:folHlink>
      </a:clrScheme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outlinePr summaryBelow="0"/>
  </sheetPr>
  <dimension ref="A1:AQ131"/>
  <sheetViews>
    <sheetView showGridLines="0" tabSelected="1" zoomScale="85" zoomScaleNormal="85" zoomScaleSheetLayoutView="40" workbookViewId="0">
      <selection activeCell="O1" sqref="O1"/>
    </sheetView>
  </sheetViews>
  <sheetFormatPr baseColWidth="10" defaultColWidth="11.5703125" defaultRowHeight="12.75" outlineLevelRow="2" outlineLevelCol="1" x14ac:dyDescent="0.2"/>
  <cols>
    <col min="1" max="1" width="60.28515625" style="57" customWidth="1"/>
    <col min="2" max="2" width="12.42578125" style="57" customWidth="1"/>
    <col min="3" max="3" width="7.7109375" style="57" customWidth="1"/>
    <col min="4" max="4" width="9.140625" style="57" customWidth="1"/>
    <col min="5" max="5" width="8.28515625" style="57" customWidth="1"/>
    <col min="6" max="6" width="4" style="57" customWidth="1"/>
    <col min="7" max="7" width="10.28515625" style="57" customWidth="1"/>
    <col min="8" max="8" width="9.7109375" style="57" customWidth="1"/>
    <col min="9" max="9" width="4" style="57" customWidth="1"/>
    <col min="10" max="14" width="12.85546875" style="57" customWidth="1"/>
    <col min="15" max="15" width="16" style="57" bestFit="1" customWidth="1"/>
    <col min="16" max="16" width="2.85546875" style="57" customWidth="1"/>
    <col min="17" max="21" width="12.85546875" style="57" hidden="1" customWidth="1" outlineLevel="1"/>
    <col min="22" max="22" width="16" style="57" hidden="1" customWidth="1" outlineLevel="1"/>
    <col min="23" max="23" width="2.85546875" style="57" hidden="1" customWidth="1" outlineLevel="1"/>
    <col min="24" max="28" width="12.85546875" style="57" hidden="1" customWidth="1" outlineLevel="1"/>
    <col min="29" max="29" width="16" style="57" hidden="1" customWidth="1" outlineLevel="1"/>
    <col min="30" max="30" width="2.85546875" style="57" hidden="1" customWidth="1" outlineLevel="1"/>
    <col min="31" max="31" width="17.28515625" style="57" customWidth="1" collapsed="1"/>
    <col min="32" max="32" width="11.5703125" style="57"/>
    <col min="33" max="34" width="11.5703125" style="57" customWidth="1"/>
    <col min="35" max="35" width="12.7109375" style="57" customWidth="1"/>
    <col min="36" max="36" width="3.7109375" style="57" customWidth="1"/>
    <col min="37" max="37" width="11.7109375" style="57" customWidth="1"/>
    <col min="38" max="38" width="5.7109375" style="57" customWidth="1"/>
    <col min="39" max="39" width="12.7109375" style="57" customWidth="1"/>
    <col min="40" max="41" width="11.5703125" style="57" customWidth="1"/>
    <col min="42" max="16384" width="11.5703125" style="57"/>
  </cols>
  <sheetData>
    <row r="1" spans="1:38" ht="55.9" customHeight="1" x14ac:dyDescent="0.2">
      <c r="A1" s="320" t="str">
        <f>IF($O$1="de","Basispreis Verschleiss
Berechnung der Schädigungskoeffizienten, der Kostenelemente und der Fahrzeugpreise",
IF($O$1="fr","Prix de base lié à l'usure 
Calcul des coefficients de dégradation, des éléments de coûts et des prix des véhicules",
IF($O$1="it","Prezzo di base in funzione dell'usura
Calcolo dei coefficienti di danneggiamento, degli elementi di costo e dei prezzi dei veicoli",
IF($O$1="en","Base price wear
Calculation of damage coefficients, cost elements and vehicle prices","select language in cell N1"))))</f>
        <v>Basispreis Verschleiss
Berechnung der Schädigungskoeffizienten, der Kostenelemente und der Fahrzeugpreise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229" t="s">
        <v>213</v>
      </c>
      <c r="N1" s="218" t="s">
        <v>210</v>
      </c>
      <c r="O1" s="228" t="s">
        <v>212</v>
      </c>
      <c r="P1" s="135"/>
      <c r="Q1" s="135"/>
      <c r="R1" s="135"/>
      <c r="S1" s="135"/>
      <c r="T1" s="135"/>
      <c r="U1" s="135"/>
      <c r="V1" s="135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127"/>
      <c r="AK1" s="127"/>
      <c r="AL1" s="127"/>
    </row>
    <row r="2" spans="1:38" x14ac:dyDescent="0.2">
      <c r="P2" s="4"/>
      <c r="W2" s="4"/>
      <c r="AD2" s="4"/>
    </row>
    <row r="3" spans="1:38" ht="28.15" customHeight="1" x14ac:dyDescent="0.25">
      <c r="A3" s="231" t="s">
        <v>214</v>
      </c>
      <c r="B3" s="232"/>
      <c r="C3" s="232"/>
      <c r="D3" s="321"/>
      <c r="E3" s="322"/>
      <c r="F3" s="322"/>
      <c r="G3" s="322"/>
      <c r="H3" s="322"/>
      <c r="I3" s="323"/>
      <c r="J3" s="94" t="s">
        <v>215</v>
      </c>
      <c r="K3" s="94" t="s">
        <v>216</v>
      </c>
      <c r="L3" s="94"/>
      <c r="M3" s="94"/>
      <c r="N3" s="94"/>
      <c r="O3" s="219" t="str">
        <f>IF($O$1="de","Fahrzeug",
IF($O$1="fr","Véhicule ",
IF($O$1="it","Veicolo",
IF($O$1="en","Vehicle","select language in cell N1"))))</f>
        <v>Fahrzeug</v>
      </c>
      <c r="P3" s="4"/>
      <c r="Q3" s="160" t="str">
        <f>J3</f>
        <v>Motor Bogie</v>
      </c>
      <c r="R3" s="160" t="str">
        <f>K3</f>
        <v>Trailer Bogie</v>
      </c>
      <c r="S3" s="160">
        <f>L3</f>
        <v>0</v>
      </c>
      <c r="T3" s="160">
        <f>M3</f>
        <v>0</v>
      </c>
      <c r="U3" s="160">
        <f>N3</f>
        <v>0</v>
      </c>
      <c r="V3" s="70"/>
      <c r="W3" s="4"/>
      <c r="X3" s="160" t="str">
        <f>Q3</f>
        <v>Motor Bogie</v>
      </c>
      <c r="Y3" s="160" t="str">
        <f>R3</f>
        <v>Trailer Bogie</v>
      </c>
      <c r="Z3" s="160">
        <f>S3</f>
        <v>0</v>
      </c>
      <c r="AA3" s="160">
        <f>T3</f>
        <v>0</v>
      </c>
      <c r="AB3" s="160">
        <f>U3</f>
        <v>0</v>
      </c>
      <c r="AC3" s="70"/>
      <c r="AD3" s="4"/>
    </row>
    <row r="4" spans="1:38" ht="18" x14ac:dyDescent="0.25">
      <c r="A4" s="105" t="str">
        <f>IF($O$1="de","Beschreibung",
IF($O$1="fr","Description",
IF($O$1="it","Descrizione",
IF($O$1="en","Description","select language in cell N1"))))</f>
        <v>Beschreibung</v>
      </c>
      <c r="B4" s="207" t="str">
        <f>IF($O$1="de","Formelzeichen",
IF($O$1="fr","Signe de formule",
IF($O$1="it","Simbolo",
IF($O$1="en","Formula symbol","select language in cell N1"))))</f>
        <v>Formelzeichen</v>
      </c>
      <c r="C4" s="105" t="str">
        <f>IF($O$1="de","Einheit",
IF($O$1="fr","Unité",
IF($O$1="it","Unità",
IF($O$1="en","Unit","select language in cell N1"))))</f>
        <v>Einheit</v>
      </c>
      <c r="D4" s="324" t="str">
        <f>IF($O$1="de","Bemerkung bzw. Berechnungsformel",
IF($O$1="fr","Remarque ou formule de calcul",
IF($O$1="it","Osservazione o formula di calcolo",
IF($O$1="en","Comment/calculation formula","select language in cell N1"))))</f>
        <v>Bemerkung bzw. Berechnungsformel</v>
      </c>
      <c r="E4" s="325"/>
      <c r="F4" s="325"/>
      <c r="G4" s="325"/>
      <c r="H4" s="325"/>
      <c r="I4" s="326"/>
      <c r="J4" s="327" t="str">
        <f>IF($O$1="de","Eingabe bzw. Berechnung",
IF($O$1="fr","Saisie ou calcul",
IF($O$1="it","Inserimento e calcolo",
IF($O$1="en","Input/calculation","select language in cell N1"))))</f>
        <v>Eingabe bzw. Berechnung</v>
      </c>
      <c r="K4" s="327"/>
      <c r="L4" s="327"/>
      <c r="M4" s="327"/>
      <c r="N4" s="327"/>
      <c r="O4" s="328"/>
      <c r="P4" s="4"/>
      <c r="Q4" s="78"/>
      <c r="R4" s="78"/>
      <c r="S4" s="78"/>
      <c r="T4" s="78"/>
      <c r="U4" s="78"/>
      <c r="V4" s="70"/>
      <c r="W4" s="4"/>
      <c r="X4" s="78"/>
      <c r="Y4" s="78"/>
      <c r="Z4" s="78"/>
      <c r="AA4" s="78"/>
      <c r="AB4" s="78"/>
      <c r="AC4" s="70"/>
      <c r="AD4" s="4"/>
      <c r="AE4" s="3"/>
    </row>
    <row r="5" spans="1:38" s="63" customFormat="1" ht="21" customHeight="1" x14ac:dyDescent="0.25">
      <c r="A5" s="109" t="str">
        <f>IF($O$1="de","Fahrzeugdaten (Eingabegrössen)",
IF($O$1="fr","Données du véhicule (grandeurs de saisie)",
IF($O$1="it","Dati del veicolo (grandezze di input)",
IF($O$1="en","Vehicle data (input variables)","select language in cell N1"))))</f>
        <v>Fahrzeugdaten (Eingabegrössen)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220"/>
      <c r="P5" s="62"/>
      <c r="Q5" s="70"/>
      <c r="R5" s="70"/>
      <c r="S5" s="70"/>
      <c r="T5" s="70"/>
      <c r="U5" s="70"/>
      <c r="V5" s="70"/>
      <c r="W5" s="62"/>
      <c r="X5" s="70"/>
      <c r="Y5" s="70"/>
      <c r="Z5" s="70"/>
      <c r="AA5" s="70"/>
      <c r="AB5" s="70"/>
      <c r="AC5" s="70"/>
      <c r="AD5" s="62"/>
      <c r="AE5" s="118"/>
    </row>
    <row r="6" spans="1:38" ht="15" x14ac:dyDescent="0.2">
      <c r="A6" s="106" t="str">
        <f>IF($O$1="de","Basisdaten",
IF($O$1="fr","Données de base",
IF($O$1="it","Dati di base",
IF($O$1="en","Basic data","select language in cell N1"))))</f>
        <v>Basisdaten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221"/>
      <c r="P6" s="4"/>
      <c r="Q6" s="71"/>
      <c r="R6" s="71"/>
      <c r="S6" s="71"/>
      <c r="T6" s="71"/>
      <c r="U6" s="71"/>
      <c r="V6" s="71"/>
      <c r="W6" s="4"/>
      <c r="X6" s="71"/>
      <c r="Y6" s="71"/>
      <c r="Z6" s="71"/>
      <c r="AA6" s="71"/>
      <c r="AB6" s="71"/>
      <c r="AC6" s="71"/>
      <c r="AD6" s="4"/>
    </row>
    <row r="7" spans="1:38" ht="24.6" customHeight="1" x14ac:dyDescent="0.2">
      <c r="A7" s="208" t="str">
        <f>IF($O$1="de","Fahrzeuggattung",
IF($O$1="fr","Catégorie de véhicule",
IF($O$1="it","Categoria di veicolo",
IF($O$1="en","Vehicle category","select language in cell N1"))))</f>
        <v>Fahrzeuggattung</v>
      </c>
      <c r="B7" s="97"/>
      <c r="C7" s="97"/>
      <c r="D7" s="329" t="str">
        <f>IF($O$1="de","Lokomotive (Lok), Triebwagen (TWg), Personenwagen (PWg), Güterwagen (GWg), Triebzug (TZ), Sonderfahrzeug (S)",
IF($O$1="fr","Locomotive (Lok), automotrice (TWg), voiture voyageurs (PWg), wagon (GWg), train automoteur (TZ), véhicule de secours spécial (S)",
IF($O$1="it","Locomotiva (Lok), motrice (TWg), carrozza (PWg), carro merci (GWg), automotrice (TZ), veicolo speciale (S)",
IF($O$1="en","Locomotive (Lok), power car (TWg), passenger car (PWg), freight wagon (GWg), multiple unit (TZ), special vehicle (S)","select language in cell N1"))))</f>
        <v>Lokomotive (Lok), Triebwagen (TWg), Personenwagen (PWg), Güterwagen (GWg), Triebzug (TZ), Sonderfahrzeug (S)</v>
      </c>
      <c r="E7" s="330"/>
      <c r="F7" s="330"/>
      <c r="G7" s="330"/>
      <c r="H7" s="330"/>
      <c r="I7" s="331"/>
      <c r="J7" s="98"/>
      <c r="K7" s="98"/>
      <c r="L7" s="98"/>
      <c r="M7" s="98"/>
      <c r="N7" s="98"/>
      <c r="O7" s="222" t="s">
        <v>154</v>
      </c>
      <c r="P7" s="4"/>
      <c r="Q7" s="65"/>
      <c r="R7" s="65"/>
      <c r="S7" s="65"/>
      <c r="T7" s="65"/>
      <c r="U7" s="65"/>
      <c r="V7" s="65"/>
      <c r="W7" s="4"/>
      <c r="X7" s="65"/>
      <c r="Y7" s="65"/>
      <c r="Z7" s="65"/>
      <c r="AA7" s="65"/>
      <c r="AB7" s="65"/>
      <c r="AC7" s="65"/>
      <c r="AD7" s="4"/>
    </row>
    <row r="8" spans="1:38" ht="15.75" x14ac:dyDescent="0.3">
      <c r="A8" s="97" t="str">
        <f>IF($O$1="de","Zulässige Höchstgeschwindigkeit",
IF($O$1="fr","Vitesse maximale autorisée",
IF($O$1="it","Velocità massima ammessa",
IF($O$1="en","Maximum permissible speed","select language in cell N1"))))</f>
        <v>Zulässige Höchstgeschwindigkeit</v>
      </c>
      <c r="B8" s="97" t="s">
        <v>53</v>
      </c>
      <c r="C8" s="97" t="s">
        <v>54</v>
      </c>
      <c r="D8" s="308"/>
      <c r="E8" s="309"/>
      <c r="F8" s="309"/>
      <c r="G8" s="309"/>
      <c r="H8" s="309"/>
      <c r="I8" s="310"/>
      <c r="J8" s="147">
        <f t="shared" ref="J8:N10" si="0">$O8</f>
        <v>140</v>
      </c>
      <c r="K8" s="147">
        <f t="shared" si="0"/>
        <v>140</v>
      </c>
      <c r="L8" s="147">
        <f t="shared" si="0"/>
        <v>140</v>
      </c>
      <c r="M8" s="147">
        <f t="shared" si="0"/>
        <v>140</v>
      </c>
      <c r="N8" s="147">
        <f t="shared" si="0"/>
        <v>140</v>
      </c>
      <c r="O8" s="223">
        <v>140</v>
      </c>
      <c r="P8" s="4"/>
      <c r="Q8" s="65"/>
      <c r="R8" s="65"/>
      <c r="S8" s="65"/>
      <c r="T8" s="65"/>
      <c r="U8" s="65"/>
      <c r="V8" s="65"/>
      <c r="W8" s="4"/>
      <c r="X8" s="65"/>
      <c r="Y8" s="65"/>
      <c r="Z8" s="65"/>
      <c r="AA8" s="65"/>
      <c r="AB8" s="65"/>
      <c r="AC8" s="65"/>
      <c r="AD8" s="4"/>
    </row>
    <row r="9" spans="1:38" ht="15.6" customHeight="1" x14ac:dyDescent="0.2">
      <c r="A9" s="97" t="str">
        <f>IF($O$1="de","Zugreihe",
IF($O$1="fr","Catégorie de train",
IF($O$1="it","Categoria di treno",
IF($O$1="en","Train category","select language in cell N1"))))</f>
        <v>Zugreihe</v>
      </c>
      <c r="B9" s="97"/>
      <c r="C9" s="97"/>
      <c r="D9" s="308"/>
      <c r="E9" s="309"/>
      <c r="F9" s="309"/>
      <c r="G9" s="309"/>
      <c r="H9" s="309"/>
      <c r="I9" s="310"/>
      <c r="J9" s="148" t="str">
        <f t="shared" si="0"/>
        <v>R</v>
      </c>
      <c r="K9" s="148" t="str">
        <f t="shared" si="0"/>
        <v>R</v>
      </c>
      <c r="L9" s="148" t="str">
        <f t="shared" si="0"/>
        <v>R</v>
      </c>
      <c r="M9" s="148" t="str">
        <f t="shared" si="0"/>
        <v>R</v>
      </c>
      <c r="N9" s="148" t="str">
        <f t="shared" si="0"/>
        <v>R</v>
      </c>
      <c r="O9" s="222" t="s">
        <v>94</v>
      </c>
      <c r="P9" s="4"/>
      <c r="Q9" s="64"/>
      <c r="R9" s="64"/>
      <c r="S9" s="64"/>
      <c r="T9" s="64"/>
      <c r="U9" s="64"/>
      <c r="V9" s="64"/>
      <c r="W9" s="4"/>
      <c r="X9" s="64"/>
      <c r="Y9" s="64"/>
      <c r="Z9" s="64"/>
      <c r="AA9" s="64"/>
      <c r="AB9" s="64"/>
      <c r="AC9" s="64"/>
      <c r="AD9" s="4"/>
    </row>
    <row r="10" spans="1:38" ht="15.75" x14ac:dyDescent="0.3">
      <c r="A10" s="97" t="str">
        <f>IF($O$1="de","Zulässige Geschwindigkeit in 40-km/h-Weichen",
IF($O$1="fr","Vitesse autorisée sur les branchements à 40 km/h",
IF($O$1="it","Velocità ammissibile su scambi da 40 km/h",
IF($O$1="en","Permissible speed on 40 km/h points","select language in cell N1"))))</f>
        <v>Zulässige Geschwindigkeit in 40-km/h-Weichen</v>
      </c>
      <c r="B10" s="97" t="s">
        <v>145</v>
      </c>
      <c r="C10" s="97" t="s">
        <v>54</v>
      </c>
      <c r="D10" s="308" t="str">
        <f>IF($O$1="de","40 km/h, falls keine Beschränkung vorliegt",
IF($O$1="fr","40 km/h, s'il n'y a pas de limitation",
IF($O$1="it","40 km/h, in assenza di limitazioni",
IF($O$1="en","40 km/h, if there are no restrictions","select language in cell N1"))))</f>
        <v>40 km/h, falls keine Beschränkung vorliegt</v>
      </c>
      <c r="E10" s="309"/>
      <c r="F10" s="309"/>
      <c r="G10" s="309"/>
      <c r="H10" s="309"/>
      <c r="I10" s="310"/>
      <c r="J10" s="147">
        <f t="shared" si="0"/>
        <v>40</v>
      </c>
      <c r="K10" s="147">
        <f t="shared" si="0"/>
        <v>40</v>
      </c>
      <c r="L10" s="147">
        <f t="shared" si="0"/>
        <v>40</v>
      </c>
      <c r="M10" s="147">
        <f t="shared" si="0"/>
        <v>40</v>
      </c>
      <c r="N10" s="147">
        <f t="shared" si="0"/>
        <v>40</v>
      </c>
      <c r="O10" s="223">
        <v>40</v>
      </c>
      <c r="P10" s="4"/>
      <c r="Q10" s="65"/>
      <c r="R10" s="65"/>
      <c r="S10" s="65"/>
      <c r="T10" s="65"/>
      <c r="U10" s="65"/>
      <c r="V10" s="65"/>
      <c r="W10" s="4"/>
      <c r="X10" s="65"/>
      <c r="Y10" s="65"/>
      <c r="Z10" s="65"/>
      <c r="AA10" s="65"/>
      <c r="AB10" s="65"/>
      <c r="AC10" s="65"/>
      <c r="AD10" s="4"/>
    </row>
    <row r="11" spans="1:38" ht="15" x14ac:dyDescent="0.2">
      <c r="A11" s="95" t="str">
        <f>IF($O$1="de","Fahrwerkdaten",
IF($O$1="fr","Données des châssis",
IF($O$1="it","Dati organo di rotolamento",
IF($O$1="en","Running gear data","select language in cell N1"))))</f>
        <v>Fahrwerkdaten</v>
      </c>
      <c r="B11" s="95"/>
      <c r="C11" s="95"/>
      <c r="D11" s="95"/>
      <c r="E11" s="95"/>
      <c r="F11" s="95"/>
      <c r="G11" s="95"/>
      <c r="H11" s="95"/>
      <c r="I11" s="95"/>
      <c r="J11" s="95" t="str">
        <f>IF($O$1="de","nominell",
IF($O$1="fr","nominal",
IF($O$1="it","nominale",
IF($O$1="en","nominal","select language in cell N1"))))</f>
        <v>nominell</v>
      </c>
      <c r="K11" s="95"/>
      <c r="L11" s="95"/>
      <c r="M11" s="95"/>
      <c r="N11" s="95"/>
      <c r="O11" s="224" t="str">
        <f>IF($O$1="de","gesamt",
IF($O$1="fr","total",
IF($O$1="it","totale",
IF($O$1="en","total","select language in cell N1"))))</f>
        <v>gesamt</v>
      </c>
      <c r="P11" s="4"/>
      <c r="Q11" s="154" t="str">
        <f>IF($O$1="de","nominell * Faktor fu",
IF($O$1="fr","nominal * facteur fu",
IF($O$1="it","nominale * fattore fu",
IF($O$1="en","nominal * factor fu","select language in cell N1"))))</f>
        <v>nominell * Faktor fu</v>
      </c>
      <c r="R11" s="154"/>
      <c r="S11" s="154"/>
      <c r="T11" s="154"/>
      <c r="U11" s="154"/>
      <c r="V11" s="66"/>
      <c r="W11" s="4"/>
      <c r="X11" s="154" t="str">
        <f>IF($O$1="de","nominell * Faktor fo",
IF($O$1="fr","nominal * facteur fo",
IF($O$1="it","nominale * fattore fo",
IF($O$1="en","nominal * factor fo","select language in cell N1"))))</f>
        <v>nominell * Faktor fo</v>
      </c>
      <c r="Y11" s="154"/>
      <c r="Z11" s="154"/>
      <c r="AA11" s="154"/>
      <c r="AB11" s="154"/>
      <c r="AC11" s="66"/>
      <c r="AD11" s="4"/>
    </row>
    <row r="12" spans="1:38" ht="15.75" x14ac:dyDescent="0.3">
      <c r="A12" s="97" t="str">
        <f>IF($O$1="de","Anzahl gleichartiger Radsätze pro Fahrwerktyp",
IF($O$1="fr","Nombre d'essieux de même type par type de châssis",
IF($O$1="it","Numero di sale montate affini per tipo di organi di rotolamento",
IF($O$1="en","Number of similar wheelsets per running gear type","select language in cell N1"))))</f>
        <v>Anzahl gleichartiger Radsätze pro Fahrwerktyp</v>
      </c>
      <c r="B12" s="97" t="s">
        <v>118</v>
      </c>
      <c r="C12" s="97"/>
      <c r="D12" s="308"/>
      <c r="E12" s="309"/>
      <c r="F12" s="309"/>
      <c r="G12" s="309"/>
      <c r="H12" s="309"/>
      <c r="I12" s="310"/>
      <c r="J12" s="99">
        <v>2</v>
      </c>
      <c r="K12" s="99">
        <v>2</v>
      </c>
      <c r="L12" s="99"/>
      <c r="M12" s="99"/>
      <c r="N12" s="99"/>
      <c r="O12" s="225"/>
      <c r="P12" s="4"/>
      <c r="Q12" s="159">
        <f t="shared" ref="Q12:U15" si="1">J12</f>
        <v>2</v>
      </c>
      <c r="R12" s="159">
        <f t="shared" si="1"/>
        <v>2</v>
      </c>
      <c r="S12" s="159">
        <f t="shared" si="1"/>
        <v>0</v>
      </c>
      <c r="T12" s="159">
        <f t="shared" si="1"/>
        <v>0</v>
      </c>
      <c r="U12" s="159">
        <f t="shared" si="1"/>
        <v>0</v>
      </c>
      <c r="V12" s="66"/>
      <c r="W12" s="4"/>
      <c r="X12" s="159">
        <f t="shared" ref="X12:AB15" si="2">J12</f>
        <v>2</v>
      </c>
      <c r="Y12" s="159">
        <f t="shared" si="2"/>
        <v>2</v>
      </c>
      <c r="Z12" s="159">
        <f t="shared" si="2"/>
        <v>0</v>
      </c>
      <c r="AA12" s="159">
        <f t="shared" si="2"/>
        <v>0</v>
      </c>
      <c r="AB12" s="159">
        <f t="shared" si="2"/>
        <v>0</v>
      </c>
      <c r="AC12" s="66"/>
      <c r="AD12" s="4"/>
    </row>
    <row r="13" spans="1:38" ht="15.75" x14ac:dyDescent="0.3">
      <c r="A13" s="97" t="str">
        <f>IF($O$1="de","Anzahl Fahrwerke je Fahrwerktyp pro Fahrzeug",
IF($O$1="fr","Nombre de châssis par type par véhicule",
IF($O$1="it","Numero di organi di rotolamento per tipo per veicolo",
IF($O$1="en","Number of running gears for each running gear type per vehicle","select language in cell N1"))))</f>
        <v>Anzahl Fahrwerke je Fahrwerktyp pro Fahrzeug</v>
      </c>
      <c r="B13" s="97" t="s">
        <v>101</v>
      </c>
      <c r="C13" s="97"/>
      <c r="D13" s="308"/>
      <c r="E13" s="309"/>
      <c r="F13" s="309"/>
      <c r="G13" s="309"/>
      <c r="H13" s="309"/>
      <c r="I13" s="310"/>
      <c r="J13" s="99">
        <v>2</v>
      </c>
      <c r="K13" s="99">
        <v>2</v>
      </c>
      <c r="L13" s="99"/>
      <c r="M13" s="99"/>
      <c r="N13" s="99"/>
      <c r="O13" s="225">
        <f>SUM(J13:N13)</f>
        <v>4</v>
      </c>
      <c r="P13" s="4"/>
      <c r="Q13" s="159">
        <f t="shared" si="1"/>
        <v>2</v>
      </c>
      <c r="R13" s="159">
        <f t="shared" si="1"/>
        <v>2</v>
      </c>
      <c r="S13" s="159">
        <f t="shared" si="1"/>
        <v>0</v>
      </c>
      <c r="T13" s="159">
        <f t="shared" si="1"/>
        <v>0</v>
      </c>
      <c r="U13" s="159">
        <f t="shared" si="1"/>
        <v>0</v>
      </c>
      <c r="V13" s="66"/>
      <c r="W13" s="4"/>
      <c r="X13" s="159">
        <f t="shared" si="2"/>
        <v>2</v>
      </c>
      <c r="Y13" s="159">
        <f t="shared" si="2"/>
        <v>2</v>
      </c>
      <c r="Z13" s="159">
        <f t="shared" si="2"/>
        <v>0</v>
      </c>
      <c r="AA13" s="159">
        <f t="shared" si="2"/>
        <v>0</v>
      </c>
      <c r="AB13" s="159">
        <f t="shared" si="2"/>
        <v>0</v>
      </c>
      <c r="AC13" s="66"/>
      <c r="AD13" s="4"/>
    </row>
    <row r="14" spans="1:38" ht="15.75" x14ac:dyDescent="0.3">
      <c r="A14" s="97" t="str">
        <f>IF($O$1="de","Anzahl gleichartiger Triebradsätze pro Fahrzeug",
IF($O$1="fr","Nombre d'essieux moteurs de même type par véhicule",
IF($O$1="it","Numero di ruote motrici affini per veicolo",
IF($O$1="en","Number of similar driven wheelsets per vehicle","select language in cell N1"))))</f>
        <v>Anzahl gleichartiger Triebradsätze pro Fahrzeug</v>
      </c>
      <c r="B14" s="97" t="s">
        <v>119</v>
      </c>
      <c r="C14" s="97"/>
      <c r="D14" s="308"/>
      <c r="E14" s="309"/>
      <c r="F14" s="309"/>
      <c r="G14" s="309"/>
      <c r="H14" s="309"/>
      <c r="I14" s="310"/>
      <c r="J14" s="98">
        <f>IF(J19&lt;&gt;0,J13*J12,0)</f>
        <v>4</v>
      </c>
      <c r="K14" s="98">
        <f>IF(K19&lt;&gt;0,K13*K12,0)</f>
        <v>0</v>
      </c>
      <c r="L14" s="98">
        <f>IF(L19&lt;&gt;0,L13*L12,0)</f>
        <v>0</v>
      </c>
      <c r="M14" s="98">
        <f t="shared" ref="M14:N14" si="3">IF(M19&lt;&gt;0,M13*M12,0)</f>
        <v>0</v>
      </c>
      <c r="N14" s="98">
        <f t="shared" si="3"/>
        <v>0</v>
      </c>
      <c r="O14" s="225">
        <f>SUM(J14:N14)</f>
        <v>4</v>
      </c>
      <c r="P14" s="4"/>
      <c r="Q14" s="159">
        <f t="shared" si="1"/>
        <v>4</v>
      </c>
      <c r="R14" s="159">
        <f t="shared" si="1"/>
        <v>0</v>
      </c>
      <c r="S14" s="159">
        <f t="shared" si="1"/>
        <v>0</v>
      </c>
      <c r="T14" s="159">
        <f t="shared" si="1"/>
        <v>0</v>
      </c>
      <c r="U14" s="159">
        <f t="shared" si="1"/>
        <v>0</v>
      </c>
      <c r="V14" s="66"/>
      <c r="W14" s="4"/>
      <c r="X14" s="159">
        <f t="shared" si="2"/>
        <v>4</v>
      </c>
      <c r="Y14" s="159">
        <f t="shared" si="2"/>
        <v>0</v>
      </c>
      <c r="Z14" s="159">
        <f t="shared" si="2"/>
        <v>0</v>
      </c>
      <c r="AA14" s="159">
        <f t="shared" si="2"/>
        <v>0</v>
      </c>
      <c r="AB14" s="159">
        <f t="shared" si="2"/>
        <v>0</v>
      </c>
      <c r="AC14" s="66"/>
      <c r="AD14" s="4"/>
    </row>
    <row r="15" spans="1:38" ht="15.75" x14ac:dyDescent="0.3">
      <c r="A15" s="104" t="str">
        <f>IF($O$1="de","Anzahl gleichartiger Radsätze pro Fahrzeug",
IF($O$1="fr","Nombre d'essieux de même type par véhicule",
IF($O$1="it","Numero di sale montate affini per veicolo",
IF($O$1="en","Number of similar wheelsets per vehicle","select language in cell N1"))))</f>
        <v>Anzahl gleichartiger Radsätze pro Fahrzeug</v>
      </c>
      <c r="B15" s="97" t="s">
        <v>100</v>
      </c>
      <c r="C15" s="97"/>
      <c r="D15" s="308"/>
      <c r="E15" s="309"/>
      <c r="F15" s="309"/>
      <c r="G15" s="309"/>
      <c r="H15" s="309"/>
      <c r="I15" s="310"/>
      <c r="J15" s="98">
        <f>J13*J12</f>
        <v>4</v>
      </c>
      <c r="K15" s="98">
        <f t="shared" ref="K15" si="4">K13*K12</f>
        <v>4</v>
      </c>
      <c r="L15" s="98">
        <f t="shared" ref="L15:N15" si="5">L13*L12</f>
        <v>0</v>
      </c>
      <c r="M15" s="98">
        <f t="shared" si="5"/>
        <v>0</v>
      </c>
      <c r="N15" s="98">
        <f t="shared" si="5"/>
        <v>0</v>
      </c>
      <c r="O15" s="225">
        <f>SUM(J15:N15)</f>
        <v>8</v>
      </c>
      <c r="P15" s="4"/>
      <c r="Q15" s="159">
        <f t="shared" si="1"/>
        <v>4</v>
      </c>
      <c r="R15" s="159">
        <f t="shared" si="1"/>
        <v>4</v>
      </c>
      <c r="S15" s="159">
        <f t="shared" si="1"/>
        <v>0</v>
      </c>
      <c r="T15" s="159">
        <f t="shared" si="1"/>
        <v>0</v>
      </c>
      <c r="U15" s="159">
        <f t="shared" si="1"/>
        <v>0</v>
      </c>
      <c r="V15" s="66"/>
      <c r="W15" s="4"/>
      <c r="X15" s="159">
        <f t="shared" si="2"/>
        <v>4</v>
      </c>
      <c r="Y15" s="159">
        <f t="shared" si="2"/>
        <v>4</v>
      </c>
      <c r="Z15" s="159">
        <f t="shared" si="2"/>
        <v>0</v>
      </c>
      <c r="AA15" s="159">
        <f t="shared" si="2"/>
        <v>0</v>
      </c>
      <c r="AB15" s="159">
        <f t="shared" si="2"/>
        <v>0</v>
      </c>
      <c r="AC15" s="66"/>
      <c r="AD15" s="4"/>
    </row>
    <row r="16" spans="1:38" ht="15.75" x14ac:dyDescent="0.3">
      <c r="A16" s="97" t="str">
        <f>IF($O$1="de","Statische Radaufstandskraft",
IF($O$1="fr","Force statique d'appui des roues",
IF($O$1="it","Forza statica di contatto della ruota",
IF($O$1="en","Static vertical wheel force","select language in cell N1"))))</f>
        <v>Statische Radaufstandskraft</v>
      </c>
      <c r="B16" s="97" t="s">
        <v>33</v>
      </c>
      <c r="C16" s="97" t="s">
        <v>26</v>
      </c>
      <c r="D16" s="308"/>
      <c r="E16" s="309"/>
      <c r="F16" s="309"/>
      <c r="G16" s="309"/>
      <c r="H16" s="309"/>
      <c r="I16" s="310"/>
      <c r="J16" s="120">
        <v>75</v>
      </c>
      <c r="K16" s="120">
        <v>50</v>
      </c>
      <c r="L16" s="120"/>
      <c r="M16" s="120"/>
      <c r="N16" s="120"/>
      <c r="O16" s="230">
        <f>2*SUMPRODUCT(J16:N16,$J$15:$N$15)/9.81</f>
        <v>101.9367991845056</v>
      </c>
      <c r="P16" s="4"/>
      <c r="Q16" s="155">
        <f t="shared" ref="Q16:U17" si="6">J16*Q33</f>
        <v>73.125</v>
      </c>
      <c r="R16" s="155">
        <f t="shared" si="6"/>
        <v>48.75</v>
      </c>
      <c r="S16" s="155">
        <f t="shared" si="6"/>
        <v>0</v>
      </c>
      <c r="T16" s="155">
        <f t="shared" si="6"/>
        <v>0</v>
      </c>
      <c r="U16" s="155">
        <f t="shared" si="6"/>
        <v>0</v>
      </c>
      <c r="V16" s="66"/>
      <c r="W16" s="4"/>
      <c r="X16" s="155">
        <f t="shared" ref="X16:AB17" si="7">J16*X33</f>
        <v>76.875</v>
      </c>
      <c r="Y16" s="155">
        <f t="shared" si="7"/>
        <v>51.249999999999993</v>
      </c>
      <c r="Z16" s="155">
        <f t="shared" si="7"/>
        <v>0</v>
      </c>
      <c r="AA16" s="155">
        <f t="shared" si="7"/>
        <v>0</v>
      </c>
      <c r="AB16" s="155">
        <f t="shared" si="7"/>
        <v>0</v>
      </c>
      <c r="AC16" s="66"/>
      <c r="AD16" s="4"/>
    </row>
    <row r="17" spans="1:30" ht="15.75" x14ac:dyDescent="0.3">
      <c r="A17" s="97" t="str">
        <f>IF($O$1="de","Unabgefederte Masse pro Rad",
IF($O$1="fr","Masse non suspendue par roue",
IF($O$1="it","Massa non sospesa per ruota",
IF($O$1="en","Unsprung mass per wheel","select language in cell N1"))))</f>
        <v>Unabgefederte Masse pro Rad</v>
      </c>
      <c r="B17" s="97" t="s">
        <v>41</v>
      </c>
      <c r="C17" s="97" t="s">
        <v>40</v>
      </c>
      <c r="D17" s="308"/>
      <c r="E17" s="309"/>
      <c r="F17" s="309"/>
      <c r="G17" s="309"/>
      <c r="H17" s="309"/>
      <c r="I17" s="310"/>
      <c r="J17" s="120">
        <v>800</v>
      </c>
      <c r="K17" s="120">
        <v>500</v>
      </c>
      <c r="L17" s="120"/>
      <c r="M17" s="120"/>
      <c r="N17" s="120"/>
      <c r="O17" s="225"/>
      <c r="P17" s="4"/>
      <c r="Q17" s="155">
        <f t="shared" si="6"/>
        <v>736</v>
      </c>
      <c r="R17" s="155">
        <f t="shared" si="6"/>
        <v>475</v>
      </c>
      <c r="S17" s="155">
        <f t="shared" si="6"/>
        <v>0</v>
      </c>
      <c r="T17" s="155">
        <f t="shared" si="6"/>
        <v>0</v>
      </c>
      <c r="U17" s="155">
        <f t="shared" si="6"/>
        <v>0</v>
      </c>
      <c r="V17" s="66"/>
      <c r="W17" s="4"/>
      <c r="X17" s="155">
        <f t="shared" si="7"/>
        <v>864</v>
      </c>
      <c r="Y17" s="155">
        <f t="shared" si="7"/>
        <v>525</v>
      </c>
      <c r="Z17" s="155">
        <f t="shared" si="7"/>
        <v>0</v>
      </c>
      <c r="AA17" s="155">
        <f t="shared" si="7"/>
        <v>0</v>
      </c>
      <c r="AB17" s="155">
        <f t="shared" si="7"/>
        <v>0</v>
      </c>
      <c r="AC17" s="66"/>
      <c r="AD17" s="4"/>
    </row>
    <row r="18" spans="1:30" ht="15.75" x14ac:dyDescent="0.3">
      <c r="A18" s="104" t="str">
        <f>IF($O$1="de","Radradius (Nominalwert für neue Räder)",
IF($O$1="fr","Rayon de la roue (valeur nominale pour les roues neuves)",
IF($O$1="it","Raggio della ruota (valore nominale per ruote nuove)",
IF($O$1="en","Wheel radius (nominal value for new wheels)","select language in cell N1"))))</f>
        <v>Radradius (Nominalwert für neue Räder)</v>
      </c>
      <c r="B18" s="97" t="s">
        <v>39</v>
      </c>
      <c r="C18" s="97" t="s">
        <v>38</v>
      </c>
      <c r="D18" s="308"/>
      <c r="E18" s="309"/>
      <c r="F18" s="309"/>
      <c r="G18" s="309"/>
      <c r="H18" s="309"/>
      <c r="I18" s="310"/>
      <c r="J18" s="119">
        <v>0.45</v>
      </c>
      <c r="K18" s="119">
        <v>0.4</v>
      </c>
      <c r="L18" s="119"/>
      <c r="M18" s="119"/>
      <c r="N18" s="119"/>
      <c r="O18" s="225"/>
      <c r="P18" s="4"/>
      <c r="Q18" s="157">
        <f t="shared" ref="Q18:U19" si="8">J18</f>
        <v>0.45</v>
      </c>
      <c r="R18" s="157">
        <f t="shared" si="8"/>
        <v>0.4</v>
      </c>
      <c r="S18" s="157">
        <f t="shared" si="8"/>
        <v>0</v>
      </c>
      <c r="T18" s="157">
        <f t="shared" si="8"/>
        <v>0</v>
      </c>
      <c r="U18" s="157">
        <f t="shared" si="8"/>
        <v>0</v>
      </c>
      <c r="V18" s="66"/>
      <c r="W18" s="4"/>
      <c r="X18" s="157">
        <f t="shared" ref="X18:AB19" si="9">J18</f>
        <v>0.45</v>
      </c>
      <c r="Y18" s="157">
        <f t="shared" si="9"/>
        <v>0.4</v>
      </c>
      <c r="Z18" s="157">
        <f t="shared" si="9"/>
        <v>0</v>
      </c>
      <c r="AA18" s="157">
        <f t="shared" si="9"/>
        <v>0</v>
      </c>
      <c r="AB18" s="157">
        <f t="shared" si="9"/>
        <v>0</v>
      </c>
      <c r="AC18" s="66"/>
      <c r="AD18" s="4"/>
    </row>
    <row r="19" spans="1:30" ht="15.75" x14ac:dyDescent="0.3">
      <c r="A19" s="114" t="str">
        <f>IF($O$1="de","Maximale Traktionsleistung am Rad",
IF($O$1="fr","Prestation maximale à la roue",
IF($O$1="it","Potenza massima sulla ruota",
IF($O$1="en","Maximum power at wheel","select language in cell N1"))))</f>
        <v>Maximale Traktionsleistung am Rad</v>
      </c>
      <c r="B19" s="114" t="s">
        <v>37</v>
      </c>
      <c r="C19" s="115" t="s">
        <v>36</v>
      </c>
      <c r="D19" s="308"/>
      <c r="E19" s="309"/>
      <c r="F19" s="309"/>
      <c r="G19" s="309"/>
      <c r="H19" s="309"/>
      <c r="I19" s="310"/>
      <c r="J19" s="122">
        <v>150</v>
      </c>
      <c r="K19" s="122"/>
      <c r="L19" s="122"/>
      <c r="M19" s="122"/>
      <c r="N19" s="122"/>
      <c r="O19" s="225">
        <f>2*SUMPRODUCT(J19:N19,$J$14:$N$14)</f>
        <v>1200</v>
      </c>
      <c r="P19" s="4"/>
      <c r="Q19" s="158">
        <f t="shared" si="8"/>
        <v>150</v>
      </c>
      <c r="R19" s="158">
        <f t="shared" si="8"/>
        <v>0</v>
      </c>
      <c r="S19" s="158">
        <f t="shared" si="8"/>
        <v>0</v>
      </c>
      <c r="T19" s="158">
        <f t="shared" si="8"/>
        <v>0</v>
      </c>
      <c r="U19" s="158">
        <f t="shared" si="8"/>
        <v>0</v>
      </c>
      <c r="V19" s="66"/>
      <c r="W19" s="4"/>
      <c r="X19" s="158">
        <f t="shared" si="9"/>
        <v>150</v>
      </c>
      <c r="Y19" s="158">
        <f t="shared" si="9"/>
        <v>0</v>
      </c>
      <c r="Z19" s="158">
        <f t="shared" si="9"/>
        <v>0</v>
      </c>
      <c r="AA19" s="158">
        <f t="shared" si="9"/>
        <v>0</v>
      </c>
      <c r="AB19" s="158">
        <f t="shared" si="9"/>
        <v>0</v>
      </c>
      <c r="AC19" s="66"/>
      <c r="AD19" s="4"/>
    </row>
    <row r="20" spans="1:30" ht="15.75" x14ac:dyDescent="0.3">
      <c r="A20" s="202">
        <v>270</v>
      </c>
      <c r="B20" s="116" t="s">
        <v>150</v>
      </c>
      <c r="C20" s="117" t="s">
        <v>9</v>
      </c>
      <c r="D20" s="308" t="str">
        <f>IF($O$1="de","aus MKS-Simulation",
IF($O$1="fr","par simulation SMC",
IF($O$1="it","da simulazione MBS",
IF($O$1="en","from MBS simulation","select language in cell N1"))))</f>
        <v>aus MKS-Simulation</v>
      </c>
      <c r="E20" s="309"/>
      <c r="F20" s="309"/>
      <c r="G20" s="309"/>
      <c r="H20" s="309"/>
      <c r="I20" s="310"/>
      <c r="J20" s="121">
        <v>230</v>
      </c>
      <c r="K20" s="121">
        <v>150</v>
      </c>
      <c r="L20" s="121"/>
      <c r="M20" s="121"/>
      <c r="N20" s="121"/>
      <c r="O20" s="225"/>
      <c r="P20" s="4"/>
      <c r="Q20" s="155">
        <f>J20*Q38</f>
        <v>220.86925300000001</v>
      </c>
      <c r="R20" s="155">
        <f>K20*R38</f>
        <v>137.12982000000002</v>
      </c>
      <c r="S20" s="155">
        <f>L20*S38</f>
        <v>0</v>
      </c>
      <c r="T20" s="155">
        <f>M20*T38</f>
        <v>0</v>
      </c>
      <c r="U20" s="155">
        <f>N20*U38</f>
        <v>0</v>
      </c>
      <c r="V20" s="66"/>
      <c r="W20" s="4"/>
      <c r="X20" s="155">
        <f>J20*X38</f>
        <v>239.31525299999993</v>
      </c>
      <c r="Y20" s="155">
        <f>K20*Y38</f>
        <v>163.25981999999999</v>
      </c>
      <c r="Z20" s="155">
        <f>L20*Z38</f>
        <v>0</v>
      </c>
      <c r="AA20" s="155">
        <f>M20*AA38</f>
        <v>0</v>
      </c>
      <c r="AB20" s="155">
        <f>N20*AB38</f>
        <v>0</v>
      </c>
      <c r="AC20" s="66"/>
      <c r="AD20" s="4"/>
    </row>
    <row r="21" spans="1:30" ht="15.75" x14ac:dyDescent="0.3">
      <c r="A21" s="202">
        <v>343</v>
      </c>
      <c r="B21" s="116" t="s">
        <v>151</v>
      </c>
      <c r="C21" s="117" t="s">
        <v>9</v>
      </c>
      <c r="D21" s="308" t="str">
        <f>D20</f>
        <v>aus MKS-Simulation</v>
      </c>
      <c r="E21" s="309"/>
      <c r="F21" s="309"/>
      <c r="G21" s="309"/>
      <c r="H21" s="309"/>
      <c r="I21" s="310"/>
      <c r="J21" s="121">
        <v>170</v>
      </c>
      <c r="K21" s="121">
        <v>100</v>
      </c>
      <c r="L21" s="121"/>
      <c r="M21" s="121"/>
      <c r="N21" s="121"/>
      <c r="O21" s="225"/>
      <c r="P21" s="4"/>
      <c r="Q21" s="155">
        <f>J21*Q38</f>
        <v>163.25118700000002</v>
      </c>
      <c r="R21" s="155">
        <f>K21*R38</f>
        <v>91.419880000000006</v>
      </c>
      <c r="S21" s="155">
        <f>L21*S38</f>
        <v>0</v>
      </c>
      <c r="T21" s="155">
        <f>M21*T38</f>
        <v>0</v>
      </c>
      <c r="U21" s="155">
        <f>N21*U38</f>
        <v>0</v>
      </c>
      <c r="V21" s="66"/>
      <c r="W21" s="4"/>
      <c r="X21" s="155">
        <f>J21*X38</f>
        <v>176.88518699999995</v>
      </c>
      <c r="Y21" s="155">
        <f>K21*Y38</f>
        <v>108.83987999999999</v>
      </c>
      <c r="Z21" s="155">
        <f>L21*Z38</f>
        <v>0</v>
      </c>
      <c r="AA21" s="155">
        <f>M21*AA38</f>
        <v>0</v>
      </c>
      <c r="AB21" s="155">
        <f>N21*AB38</f>
        <v>0</v>
      </c>
      <c r="AC21" s="66"/>
      <c r="AD21" s="4"/>
    </row>
    <row r="22" spans="1:30" ht="15.75" x14ac:dyDescent="0.3">
      <c r="A22" s="202">
        <v>480</v>
      </c>
      <c r="B22" s="116" t="s">
        <v>152</v>
      </c>
      <c r="C22" s="117" t="s">
        <v>9</v>
      </c>
      <c r="D22" s="308" t="str">
        <f>D20</f>
        <v>aus MKS-Simulation</v>
      </c>
      <c r="E22" s="309"/>
      <c r="F22" s="309"/>
      <c r="G22" s="309"/>
      <c r="H22" s="309"/>
      <c r="I22" s="310"/>
      <c r="J22" s="120">
        <v>100</v>
      </c>
      <c r="K22" s="120">
        <v>60</v>
      </c>
      <c r="L22" s="120"/>
      <c r="M22" s="120"/>
      <c r="N22" s="120"/>
      <c r="O22" s="225"/>
      <c r="P22" s="4"/>
      <c r="Q22" s="155">
        <f>J22*Q38</f>
        <v>96.030110000000008</v>
      </c>
      <c r="R22" s="155">
        <f>K22*R38</f>
        <v>54.851928000000008</v>
      </c>
      <c r="S22" s="155">
        <f>L22*S38</f>
        <v>0</v>
      </c>
      <c r="T22" s="155">
        <f>M22*T38</f>
        <v>0</v>
      </c>
      <c r="U22" s="155">
        <f>N22*U38</f>
        <v>0</v>
      </c>
      <c r="V22" s="66"/>
      <c r="W22" s="4"/>
      <c r="X22" s="155">
        <f>J22*X38</f>
        <v>104.05010999999998</v>
      </c>
      <c r="Y22" s="155">
        <f>K22*Y38</f>
        <v>65.303927999999999</v>
      </c>
      <c r="Z22" s="155">
        <f>L22*Z38</f>
        <v>0</v>
      </c>
      <c r="AA22" s="155">
        <f>M22*AA38</f>
        <v>0</v>
      </c>
      <c r="AB22" s="155">
        <f>N22*AB38</f>
        <v>0</v>
      </c>
      <c r="AC22" s="66"/>
      <c r="AD22" s="4"/>
    </row>
    <row r="23" spans="1:30" ht="15.75" x14ac:dyDescent="0.3">
      <c r="A23" s="202">
        <v>800</v>
      </c>
      <c r="B23" s="116" t="s">
        <v>153</v>
      </c>
      <c r="C23" s="117" t="s">
        <v>9</v>
      </c>
      <c r="D23" s="308" t="str">
        <f>D20</f>
        <v>aus MKS-Simulation</v>
      </c>
      <c r="E23" s="309"/>
      <c r="F23" s="309"/>
      <c r="G23" s="309"/>
      <c r="H23" s="309"/>
      <c r="I23" s="310"/>
      <c r="J23" s="120">
        <v>50</v>
      </c>
      <c r="K23" s="120">
        <v>25</v>
      </c>
      <c r="L23" s="120"/>
      <c r="M23" s="120"/>
      <c r="N23" s="120"/>
      <c r="O23" s="225"/>
      <c r="P23" s="4"/>
      <c r="Q23" s="155">
        <f>J23*Q38</f>
        <v>48.015055000000004</v>
      </c>
      <c r="R23" s="155">
        <f>K23*R38</f>
        <v>22.854970000000002</v>
      </c>
      <c r="S23" s="155">
        <f>L23*S38</f>
        <v>0</v>
      </c>
      <c r="T23" s="155">
        <f>M23*T38</f>
        <v>0</v>
      </c>
      <c r="U23" s="155">
        <f>N23*U38</f>
        <v>0</v>
      </c>
      <c r="V23" s="66"/>
      <c r="W23" s="4"/>
      <c r="X23" s="155">
        <f>J23*X38</f>
        <v>52.025054999999988</v>
      </c>
      <c r="Y23" s="155">
        <f>K23*Y38</f>
        <v>27.209969999999998</v>
      </c>
      <c r="Z23" s="155">
        <f>L23*Z38</f>
        <v>0</v>
      </c>
      <c r="AA23" s="155">
        <f>M23*AA38</f>
        <v>0</v>
      </c>
      <c r="AB23" s="155">
        <f>N23*AB38</f>
        <v>0</v>
      </c>
      <c r="AC23" s="66"/>
      <c r="AD23" s="4"/>
    </row>
    <row r="24" spans="1:30" ht="15.75" x14ac:dyDescent="0.3">
      <c r="A24" s="227" t="str">
        <f>IF($O$1="de","Querkraft des führenden Rades bei Weichenfahrt",
IF($O$1="fr","Force transversale de la roue avant au passage d'une aiguille",
IF($O$1="it","Forza trasversale della ruota di guida durante il transito su uno scambio",
IF($O$1="en","Lateral force of leading wheel when travelling over points","select language in cell N1"))))</f>
        <v>Querkraft des führenden Rades bei Weichenfahrt</v>
      </c>
      <c r="B24" s="130" t="s">
        <v>148</v>
      </c>
      <c r="C24" s="113" t="s">
        <v>26</v>
      </c>
      <c r="D24" s="308" t="str">
        <f>D20</f>
        <v>aus MKS-Simulation</v>
      </c>
      <c r="E24" s="309"/>
      <c r="F24" s="309"/>
      <c r="G24" s="309"/>
      <c r="H24" s="309"/>
      <c r="I24" s="310"/>
      <c r="J24" s="121">
        <v>50</v>
      </c>
      <c r="K24" s="121">
        <v>20</v>
      </c>
      <c r="L24" s="121"/>
      <c r="M24" s="121"/>
      <c r="N24" s="121"/>
      <c r="O24" s="226"/>
      <c r="P24" s="4"/>
      <c r="Q24" s="156">
        <f>J24*Q44</f>
        <v>47.292935250000006</v>
      </c>
      <c r="R24" s="156">
        <f>K24*R44</f>
        <v>19.422150000000002</v>
      </c>
      <c r="S24" s="156">
        <f>L24*S44</f>
        <v>0</v>
      </c>
      <c r="T24" s="156">
        <f>M24*T44</f>
        <v>0</v>
      </c>
      <c r="U24" s="156">
        <f>N24*U44</f>
        <v>0</v>
      </c>
      <c r="V24" s="66"/>
      <c r="W24" s="4"/>
      <c r="X24" s="156">
        <f>J24*X44</f>
        <v>52.803474749999992</v>
      </c>
      <c r="Y24" s="156">
        <f>K24*Y44</f>
        <v>20.586149999999996</v>
      </c>
      <c r="Z24" s="156">
        <f>L24*Z44</f>
        <v>0</v>
      </c>
      <c r="AA24" s="156">
        <f>M24*AA44</f>
        <v>0</v>
      </c>
      <c r="AB24" s="156">
        <f>N24*AB44</f>
        <v>0</v>
      </c>
      <c r="AC24" s="66"/>
      <c r="AD24" s="4"/>
    </row>
    <row r="25" spans="1:30" ht="15" customHeight="1" x14ac:dyDescent="0.2">
      <c r="A25" s="95" t="str">
        <f>IF($O$1="de","Abschätzung der Datenunsicherheit für die Bestimmung der Preisgrenze",
IF($O$1="fr","Estimation de l'inexactitude des données pour la fixation du barême des prix",
IF($O$1="it","Stima dell’incertezza dei dati per la determinazione dei limiti di prezzo",
IF($O$1="en","Estimation of data uncertainty for the determination of the price limits","select language in cell N1"))))</f>
        <v>Abschätzung der Datenunsicherheit für die Bestimmung der Preisgrenze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4"/>
      <c r="Q25" s="71"/>
      <c r="R25" s="71"/>
      <c r="S25" s="71"/>
      <c r="T25" s="71"/>
      <c r="U25" s="71"/>
      <c r="V25" s="71"/>
      <c r="W25" s="4"/>
      <c r="X25" s="71"/>
      <c r="Y25" s="71"/>
      <c r="Z25" s="71"/>
      <c r="AA25" s="71"/>
      <c r="AB25" s="71"/>
      <c r="AC25" s="71"/>
      <c r="AD25" s="4"/>
    </row>
    <row r="26" spans="1:30" ht="33.75" customHeight="1" outlineLevel="1" x14ac:dyDescent="0.2">
      <c r="A26" s="209" t="str">
        <f>IF($O$1="de","Dienstgewichtabweichung",
IF($O$1="fr","Variation par rapport au poids de service",
IF($O$1="it","Scostamento peso in servizio",
IF($O$1="en","Service weight deviation","select language in cell N1"))))</f>
        <v>Dienstgewichtabweichung</v>
      </c>
      <c r="B26" s="97"/>
      <c r="C26" s="97"/>
      <c r="D26" s="311" t="str">
        <f>IF($O$1="de","- keine Serienunterschiede, Neubau:       1%
- Altfahrzeuge mit Refits:                     2.5%
- Altfahrzeuge mit Refits, versch. EVUs:  5%",
IF($O$1="fr","- Pas de différence de série, construction nouvelle : 1%
- Anciens véhicules transformés :                        2.5%
- Anciens véhicules transformés, div. ETF:              5%",
IF($O$1="it","- nessuna differenza fra le serie, nuova costruzione: 1%
- veicoli vecchi con refit:                                      2.5%
- veicoli vecchi con refit, diverse ITF:                       5%",
IF($O$1="en","- No series differences, new build:        1%
- Old vehicles with refits:                   2.5%
- Old vehicles with refits, different RUs: 5%","select language in cell N1"))))</f>
        <v>- keine Serienunterschiede, Neubau:       1%
- Altfahrzeuge mit Refits:                     2.5%
- Altfahrzeuge mit Refits, versch. EVUs:  5%</v>
      </c>
      <c r="E26" s="312"/>
      <c r="F26" s="312"/>
      <c r="G26" s="312"/>
      <c r="H26" s="312"/>
      <c r="I26" s="313"/>
      <c r="J26" s="102" t="str">
        <f>$O26</f>
        <v>2.5%</v>
      </c>
      <c r="K26" s="102" t="str">
        <f>$O26</f>
        <v>2.5%</v>
      </c>
      <c r="L26" s="102" t="str">
        <f>$O26</f>
        <v>2.5%</v>
      </c>
      <c r="M26" s="102" t="str">
        <f>$O26</f>
        <v>2.5%</v>
      </c>
      <c r="N26" s="102" t="str">
        <f>$O26</f>
        <v>2.5%</v>
      </c>
      <c r="O26" s="103" t="s">
        <v>217</v>
      </c>
      <c r="P26" s="4"/>
      <c r="Q26" s="72"/>
      <c r="R26" s="72"/>
      <c r="S26" s="72"/>
      <c r="T26" s="72"/>
      <c r="U26" s="72"/>
      <c r="V26" s="72"/>
      <c r="W26" s="4"/>
      <c r="X26" s="72"/>
      <c r="Y26" s="72"/>
      <c r="Z26" s="72"/>
      <c r="AA26" s="72"/>
      <c r="AB26" s="72"/>
      <c r="AC26" s="72"/>
      <c r="AD26" s="4"/>
    </row>
    <row r="27" spans="1:30" ht="67.5" customHeight="1" outlineLevel="1" x14ac:dyDescent="0.2">
      <c r="A27" s="210" t="str">
        <f>IF($O$1="de","Unsicherheit bei der unabgefederten Masse aufgrund Antriebs- / Radsatzbauart",
IF($O$1="fr","Incertitude sur la masse non suspendue en raison du type de construction du moteur / de l'essieu",
IF($O$1="it","Incertezza relativa alla massa non sospesa in base al tipo di trasmissione / sala montata",
IF($O$1="en","Uncertainty regarding the unsprung mass due to drive/wheelset design","select language in cell N1"))))</f>
        <v>Unsicherheit bei der unabgefederten Masse aufgrund Antriebs- / Radsatzbauart</v>
      </c>
      <c r="B27" s="97"/>
      <c r="C27" s="97"/>
      <c r="D27" s="314" t="str">
        <f>IF($O$1="de","exakte Massendaten vorhanden:     0%
keine exakten Daten vorhanden:
- Laufradsatz klotzgebremst:          0%
- Laufradsatz scheibengebremst:    5%
- Antrieb vollabgefedert:                  8%
- Antrieb teil-/unabgefedert:           15%",
IF($O$1="fr",CONCATENATE("Données des dimensions exactes disponibles:  0%
Pas de données exactes disponibles:","
- essieu porteur avec frein à sabot:                    0%
- essieu porteur avec frein à disques:                 5%
- traction suspension complète:                        8%
- traction suspension partielle/ pas de susp.     15%"),
IF($O$1="it",CONCATENATE("Disponibili dati di misurazione precisi:                                       0%
Dati esatti non disponibili:","
- sala portante con freno a ceppo:                                             0%
- sala portante con freno a disco:                                              5%
- trasmissione completamente ammortizzata:                            8%","
- trasmissione parzialmente ammortizzata / non ammortizzata: 15%"),
IF($O$1="en","Exact mass data available:              0%
No exact data available:
- Trailing wheelset, block brakes:     0%
- Trailing wheelset, disc brakes:       5%
- Drive, fully sprung:                        8%
- Drive, partially sprung/unsprung:   15%","select language in cell N1"))))</f>
        <v>exakte Massendaten vorhanden:     0%
keine exakten Daten vorhanden:
- Laufradsatz klotzgebremst:          0%
- Laufradsatz scheibengebremst:    5%
- Antrieb vollabgefedert:                  8%
- Antrieb teil-/unabgefedert:           15%</v>
      </c>
      <c r="E27" s="315"/>
      <c r="F27" s="315"/>
      <c r="G27" s="315"/>
      <c r="H27" s="315"/>
      <c r="I27" s="316"/>
      <c r="J27" s="103" t="s">
        <v>218</v>
      </c>
      <c r="K27" s="103" t="s">
        <v>219</v>
      </c>
      <c r="L27" s="103"/>
      <c r="M27" s="103"/>
      <c r="N27" s="103"/>
      <c r="O27" s="100"/>
      <c r="P27" s="4"/>
      <c r="R27" s="72"/>
      <c r="S27" s="72"/>
      <c r="T27" s="72"/>
      <c r="U27" s="72"/>
      <c r="V27" s="64"/>
      <c r="W27" s="4"/>
      <c r="X27" s="72"/>
      <c r="Y27" s="72"/>
      <c r="Z27" s="72"/>
      <c r="AA27" s="72"/>
      <c r="AB27" s="72"/>
      <c r="AC27" s="64"/>
      <c r="AD27" s="4"/>
    </row>
    <row r="28" spans="1:30" ht="47.25" customHeight="1" outlineLevel="1" x14ac:dyDescent="0.2">
      <c r="A28" s="209" t="str">
        <f>IF($O$1="de","Längssteifigkeit der Radsatzführung",
IF($O$1="fr","Rigidité longitudinale de la direction de l'essieu",
IF($O$1="it","Rigidezza longitudinale della guida degli assi",
IF($O$1="en","Longitudinal stiffness of the wheelset guidance","select language in cell N1"))))</f>
        <v>Längssteifigkeit der Radsatzführung</v>
      </c>
      <c r="B28" s="97"/>
      <c r="C28" s="97"/>
      <c r="D28" s="317" t="s">
        <v>211</v>
      </c>
      <c r="E28" s="318"/>
      <c r="F28" s="318"/>
      <c r="G28" s="318"/>
      <c r="H28" s="318"/>
      <c r="I28" s="319"/>
      <c r="J28" s="101" t="s">
        <v>220</v>
      </c>
      <c r="K28" s="101" t="s">
        <v>221</v>
      </c>
      <c r="L28" s="101"/>
      <c r="M28" s="101"/>
      <c r="N28" s="101"/>
      <c r="O28" s="100"/>
      <c r="P28" s="4"/>
      <c r="Q28" s="72"/>
      <c r="R28" s="72"/>
      <c r="S28" s="72"/>
      <c r="T28" s="72"/>
      <c r="U28" s="72"/>
      <c r="V28" s="64"/>
      <c r="W28" s="4"/>
      <c r="X28" s="64"/>
      <c r="Y28" s="72"/>
      <c r="Z28" s="72"/>
      <c r="AA28" s="72"/>
      <c r="AB28" s="72"/>
      <c r="AC28" s="64"/>
      <c r="AD28" s="4"/>
    </row>
    <row r="29" spans="1:30" ht="35.25" customHeight="1" outlineLevel="1" x14ac:dyDescent="0.2">
      <c r="A29" s="209" t="str">
        <f>IF($O$1="de","Unsicherheit in der Schlingerdämpfung",
IF($O$1="fr","Incertitude dans l'amortissement anti-lacet",
IF($O$1="it","Incertezza relativa all’ammortizzazione antiserpeggio",
IF($O$1="en","Uncertainty in the yaw damping","select language in cell N1"))))</f>
        <v>Unsicherheit in der Schlingerdämpfung</v>
      </c>
      <c r="B29" s="97"/>
      <c r="C29" s="97"/>
      <c r="D29" s="301" t="str">
        <f>IF($O$1="de","- Kein Schlingerdämpfer:      0%
- Kennlinie exakt bekannt:    0%
- Kennlinie geschätzt:         20%",
IF($O$1="fr","- pas d'amortisseur anti-lacet:                           0%
- ligne caractéristique connue avec précision :    0%
- ligne caractéristique estimée:                        20%",
IF($O$1="it","- nessun ammortizzatore antiserpeggio:      0%
- curva caratteristica nota con precisione:    0%
- curva caratteristica stimata:                    20%",
IF($O$1="en","- No yaw damper:                          0%
- Characteristic known precisely:    0%
- Characteristic estimated:           20%","select language in cell N1"))))</f>
        <v>- Kein Schlingerdämpfer:      0%
- Kennlinie exakt bekannt:    0%
- Kennlinie geschätzt:         20%</v>
      </c>
      <c r="E29" s="302"/>
      <c r="F29" s="302"/>
      <c r="G29" s="302"/>
      <c r="H29" s="302"/>
      <c r="I29" s="303"/>
      <c r="J29" s="103" t="s">
        <v>222</v>
      </c>
      <c r="K29" s="103" t="s">
        <v>223</v>
      </c>
      <c r="L29" s="103"/>
      <c r="M29" s="103"/>
      <c r="N29" s="103"/>
      <c r="O29" s="100"/>
      <c r="P29" s="4"/>
      <c r="Q29" s="72"/>
      <c r="R29" s="72"/>
      <c r="S29" s="72"/>
      <c r="T29" s="72"/>
      <c r="U29" s="72"/>
      <c r="V29" s="64"/>
      <c r="W29" s="4"/>
      <c r="X29" s="72"/>
      <c r="Y29" s="72"/>
      <c r="Z29" s="72"/>
      <c r="AA29" s="72"/>
      <c r="AB29" s="72"/>
      <c r="AC29" s="64"/>
      <c r="AD29" s="4"/>
    </row>
    <row r="30" spans="1:30" ht="26.45" customHeight="1" outlineLevel="1" x14ac:dyDescent="0.2">
      <c r="A30" s="211" t="str">
        <f>IF($O$1="de","Unsicherheit des Massenträgheitsmomentes des Fahrwerks um die Hochachse",
IF($O$1="fr","Incertitude sur le moment d'inertie de masse du châssis autour de l'axe vertical",
IF($O$1="it","Incertezza relativa al momento di inerzia di massa dell’organo di rotolamento attorno all’asse verticale",
IF($O$1="en","Uncertainty regarding the mass moment of inertia of the running gear about the vertical axis","select language in cell N1"))))</f>
        <v>Unsicherheit des Massenträgheitsmomentes des Fahrwerks um die Hochachse</v>
      </c>
      <c r="B30" s="97"/>
      <c r="C30" s="97"/>
      <c r="D30" s="301" t="str">
        <f>IF($O$1="de","- exakte Daten aus CAD:    20%
- Daten geschätzt:             40%",
IF($O$1="fr","- données exactes du CAD:   20%
- données estimées:             40%",
IF($O$1="it","- dati esatti da CAD:    20%
- dati stimati:              40%",
IF($O$1="en","- Exact data from CAD:  20%
- Data estimated:           40%","select language in cell N1"))))</f>
        <v>- exakte Daten aus CAD:    20%
- Daten geschätzt:             40%</v>
      </c>
      <c r="E30" s="302"/>
      <c r="F30" s="302"/>
      <c r="G30" s="302"/>
      <c r="H30" s="302"/>
      <c r="I30" s="303"/>
      <c r="J30" s="103" t="s">
        <v>224</v>
      </c>
      <c r="K30" s="103" t="s">
        <v>224</v>
      </c>
      <c r="L30" s="103"/>
      <c r="M30" s="103"/>
      <c r="N30" s="103"/>
      <c r="O30" s="100"/>
      <c r="P30" s="4"/>
      <c r="Q30" s="72"/>
      <c r="R30" s="72"/>
      <c r="S30" s="72"/>
      <c r="T30" s="72"/>
      <c r="U30" s="72"/>
      <c r="V30" s="64"/>
      <c r="W30" s="4"/>
      <c r="X30" s="72"/>
      <c r="Y30" s="72"/>
      <c r="Z30" s="72"/>
      <c r="AA30" s="72"/>
      <c r="AB30" s="72"/>
      <c r="AC30" s="64"/>
      <c r="AD30" s="4"/>
    </row>
    <row r="31" spans="1:30" ht="47.25" customHeight="1" outlineLevel="1" x14ac:dyDescent="0.2">
      <c r="A31" s="212" t="str">
        <f>IF($O$1="de","Reibwert der Reibelemente",
IF($O$1="fr","Valeurs de frottement des éléments de friction",
IF($O$1="it","Coefficiente d’attrito degli elementi di frizione",
IF($O$1="en","Frictional value of the frictional elements","select language in cell N1"))))</f>
        <v>Reibwert der Reibelemente</v>
      </c>
      <c r="B31" s="144"/>
      <c r="C31" s="144"/>
      <c r="D31" s="304" t="str">
        <f>IF($O$1="de","- Keine Reibelemente:  0.00
- μ &lt; 0.08:                   0.05
- 0.08 ≤ μ &lt; 0.15          0.10
- μ ≥ 0.15                    0.20",
IF($O$1="fr","- pas d'éléments de friction:   0.00
- μ &lt; 0.08:                            0.05
- 0.08 ≤ μ &lt; 0.15                   0.10
- μ ≥ 0.15                             0.20",
IF($O$1="it","- nessun elemento di frizione:   0.00
- μ &lt; 0,08:                               0.05
- 0,08 ≤ μ &lt; 0,15                      0.10
- μ ≥ 0,15                                0.20",
IF($O$1="en","- No frictional elements:    0.00
- μ &lt; 0.08:                       0.05
- 0.08 ≤ μ &lt; 0.15              0.10
- μ ≥ 0.15                        0.20","select language in cell N1"))))</f>
        <v>- Keine Reibelemente:  0.00
- μ &lt; 0.08:                   0.05
- 0.08 ≤ μ &lt; 0.15          0.10
- μ ≥ 0.15                    0.20</v>
      </c>
      <c r="E31" s="305"/>
      <c r="F31" s="305"/>
      <c r="G31" s="305"/>
      <c r="H31" s="305"/>
      <c r="I31" s="306"/>
      <c r="J31" s="145" t="s">
        <v>225</v>
      </c>
      <c r="K31" s="145" t="s">
        <v>225</v>
      </c>
      <c r="L31" s="145"/>
      <c r="M31" s="145"/>
      <c r="N31" s="145"/>
      <c r="O31" s="146"/>
      <c r="P31" s="4"/>
      <c r="Q31" s="72"/>
      <c r="R31" s="72"/>
      <c r="S31" s="72"/>
      <c r="T31" s="72"/>
      <c r="U31" s="72"/>
      <c r="V31" s="64"/>
      <c r="W31" s="4"/>
      <c r="X31" s="72"/>
      <c r="Y31" s="72"/>
      <c r="Z31" s="72"/>
      <c r="AA31" s="72"/>
      <c r="AB31" s="72"/>
      <c r="AC31" s="64"/>
      <c r="AD31" s="4"/>
    </row>
    <row r="32" spans="1:30" ht="18.600000000000001" customHeight="1" outlineLevel="1" collapsed="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4"/>
      <c r="Q32" s="154" t="str">
        <f>IF($O$1="de","Faktor fu",
IF($O$1="fr","facteur fu",
IF($O$1="it","fattore fu",
IF($O$1="en","factor fu","select language in cell N1"))))</f>
        <v>Faktor fu</v>
      </c>
      <c r="R32" s="154"/>
      <c r="S32" s="154"/>
      <c r="T32" s="154"/>
      <c r="U32" s="154"/>
      <c r="V32" s="66"/>
      <c r="W32" s="4"/>
      <c r="X32" s="154" t="str">
        <f>IF($O$1="de","Faktor fo",
IF($O$1="fr","facteur fo",
IF($O$1="it","fattore fo",
IF($O$1="en","factor fo","select language in cell N1"))))</f>
        <v>Faktor fo</v>
      </c>
      <c r="Y32" s="154"/>
      <c r="Z32" s="154"/>
      <c r="AA32" s="154"/>
      <c r="AB32" s="154"/>
      <c r="AC32" s="66"/>
      <c r="AD32" s="4"/>
    </row>
    <row r="33" spans="1:31" ht="15.6" hidden="1" customHeight="1" outlineLevel="2" x14ac:dyDescent="0.3">
      <c r="A33" s="164" t="str">
        <f>IF($O$1="de","Faktor für Q0",
IF($O$1="fr","Facteur pour Q0",
IF($O$1="it","Fattore per Q0",
IF($O$1="en","Factor for Q0","select language in cell N1"))))</f>
        <v>Faktor für Q0</v>
      </c>
      <c r="B33" s="165" t="s">
        <v>196</v>
      </c>
      <c r="C33" s="165"/>
      <c r="D33" s="307" t="str">
        <f>IF($O$1="de","aus Dienstgewichtabweichung",
IF($O$1="fr","issu de la variation du poids de service",
IF($O$1="it","da scostamento peso in servizio",
IF($O$1="en","from service weight deviation","select language in cell N1"))))</f>
        <v>aus Dienstgewichtabweichung</v>
      </c>
      <c r="E33" s="307"/>
      <c r="F33" s="307"/>
      <c r="G33" s="307"/>
      <c r="H33" s="307"/>
      <c r="I33" s="307"/>
      <c r="P33" s="4"/>
      <c r="Q33" s="161">
        <f>IF(J$26="1%",0.99,
   IF(J$26="2.5%",0.975,
    IF(J$26="5%",0.95,1)))</f>
        <v>0.97499999999999998</v>
      </c>
      <c r="R33" s="161">
        <f>IF(K$26="1%",0.99,
   IF(K$26="2.5%",0.975,
    IF(K$26="5%",0.95,1)))</f>
        <v>0.97499999999999998</v>
      </c>
      <c r="S33" s="161">
        <f>IF(L$26="1%",0.99,
   IF(L$26="2.5%",0.975,
    IF(L$26="5%",0.95,1)))</f>
        <v>0.97499999999999998</v>
      </c>
      <c r="T33" s="161">
        <f>IF(M$26="1%",0.99,
   IF(M$26="2.5%",0.975,
    IF(M$26="5%",0.95,1)))</f>
        <v>0.97499999999999998</v>
      </c>
      <c r="U33" s="161">
        <f>IF(N$26="1%",0.99,
   IF(N$26="2.5%",0.975,
    IF(N$26="5%",0.95,1)))</f>
        <v>0.97499999999999998</v>
      </c>
      <c r="V33" s="65"/>
      <c r="W33" s="4"/>
      <c r="X33" s="161">
        <f>2-Q33</f>
        <v>1.0249999999999999</v>
      </c>
      <c r="Y33" s="161">
        <f>2-R33</f>
        <v>1.0249999999999999</v>
      </c>
      <c r="Z33" s="161">
        <f>2-S33</f>
        <v>1.0249999999999999</v>
      </c>
      <c r="AA33" s="161">
        <f>2-T33</f>
        <v>1.0249999999999999</v>
      </c>
      <c r="AB33" s="161">
        <f>2-U33</f>
        <v>1.0249999999999999</v>
      </c>
      <c r="AC33" s="65"/>
      <c r="AD33" s="4"/>
    </row>
    <row r="34" spans="1:31" ht="15.6" hidden="1" customHeight="1" outlineLevel="2" x14ac:dyDescent="0.3">
      <c r="A34" s="164" t="str">
        <f>IF($O$1="de","Faktor für mu",
IF($O$1="fr","Facteur pour mu",
IF($O$1="it","Fattore per mu",
IF($O$1="en","Factor for mu","select language in cell N1"))))</f>
        <v>Faktor für mu</v>
      </c>
      <c r="B34" s="165" t="s">
        <v>197</v>
      </c>
      <c r="C34" s="165"/>
      <c r="D34" s="299" t="str">
        <f>IF($O$1="de","aus Antriebs- / Radsatzbauart",
IF($O$1="fr","issu du type de traction/d'essieu",
IF($O$1="it","da tipo di trasmissione / sala montata",
IF($O$1="en","from drive/wheelset design","select language in cell N1"))))</f>
        <v>aus Antriebs- / Radsatzbauart</v>
      </c>
      <c r="E34" s="299"/>
      <c r="F34" s="299"/>
      <c r="G34" s="299"/>
      <c r="H34" s="299"/>
      <c r="I34" s="299"/>
      <c r="P34" s="4"/>
      <c r="Q34" s="161">
        <f>IF(J$27="0%",1,
   IF(J$27="5%",0.95,
    IF(J$27="8%",0.92,
     IF(J$27="15%",0.85,1))))</f>
        <v>0.92</v>
      </c>
      <c r="R34" s="161">
        <f>IF(K$27="0%",1,
   IF(K$27="5%",0.95,
    IF(K$27="8%",0.92,
     IF(K$27="15%",0.85,1))))</f>
        <v>0.95</v>
      </c>
      <c r="S34" s="161">
        <f>IF(L$27="0%",1,
   IF(L$27="5%",0.95,
    IF(L$27="8%",0.92,
     IF(L$27="15%",0.85,1))))</f>
        <v>1</v>
      </c>
      <c r="T34" s="161">
        <f>IF(M$27="0%",1,
   IF(M$27="5%",0.95,
    IF(M$27="8%",0.92,
     IF(M$27="15%",0.85,1))))</f>
        <v>1</v>
      </c>
      <c r="U34" s="161">
        <f>IF(N$27="0%",1,
   IF(N$27="5%",0.95,
    IF(N$27="8%",0.92,
     IF(N$27="15%",0.85,1))))</f>
        <v>1</v>
      </c>
      <c r="V34" s="65"/>
      <c r="W34" s="4"/>
      <c r="X34" s="161">
        <f t="shared" ref="X34:X43" si="10">2-Q34</f>
        <v>1.08</v>
      </c>
      <c r="Y34" s="161">
        <f t="shared" ref="Y34:AB37" si="11">2-R34</f>
        <v>1.05</v>
      </c>
      <c r="Z34" s="161">
        <f t="shared" si="11"/>
        <v>1</v>
      </c>
      <c r="AA34" s="161">
        <f t="shared" si="11"/>
        <v>1</v>
      </c>
      <c r="AB34" s="161">
        <f t="shared" si="11"/>
        <v>1</v>
      </c>
      <c r="AC34" s="65"/>
      <c r="AD34" s="4"/>
    </row>
    <row r="35" spans="1:31" ht="15.6" hidden="1" customHeight="1" outlineLevel="2" x14ac:dyDescent="0.3">
      <c r="A35" s="166" t="str">
        <f>IF($O$1="de","Teilfaktor für Wb aus Dienstgewichtabweichung",
IF($O$1="fr","Facteur partiel pour Wb issu de la variation du poids de service",
IF($O$1="it","Fattore parziale per Wb da scostamento peso in servizio",
IF($O$1="en","Sub-factor for Wb from service weight deviation","select language in cell N1"))))</f>
        <v>Teilfaktor für Wb aus Dienstgewichtabweichung</v>
      </c>
      <c r="B35" s="167" t="s">
        <v>198</v>
      </c>
      <c r="C35" s="167"/>
      <c r="D35" s="298"/>
      <c r="E35" s="298"/>
      <c r="F35" s="298"/>
      <c r="G35" s="298"/>
      <c r="H35" s="298"/>
      <c r="I35" s="298"/>
      <c r="P35" s="4"/>
      <c r="Q35" s="162">
        <f>IF(J$26="1%",0.99236,
   IF(J$26="2.5%",0.9809,
    IF(J$26="5%",0.9618,1)))</f>
        <v>0.98089999999999999</v>
      </c>
      <c r="R35" s="162">
        <f>IF(K$26="1%",0.99236,
   IF(K$26="2.5%",0.9809,
    IF(K$26="5%",0.9618,1)))</f>
        <v>0.98089999999999999</v>
      </c>
      <c r="S35" s="162">
        <f>IF(L$26="1%",0.99236,
   IF(L$26="2.5%",0.9809,
    IF(L$26="5%",0.9618,1)))</f>
        <v>0.98089999999999999</v>
      </c>
      <c r="T35" s="162">
        <f>IF(M$26="1%",0.99236,
   IF(M$26="2.5%",0.9809,
    IF(M$26="5%",0.9618,1)))</f>
        <v>0.98089999999999999</v>
      </c>
      <c r="U35" s="162">
        <f>IF(N$26="1%",0.99236,
   IF(N$26="2.5%",0.9809,
    IF(N$26="5%",0.9618,1)))</f>
        <v>0.98089999999999999</v>
      </c>
      <c r="V35" s="65"/>
      <c r="W35" s="4"/>
      <c r="X35" s="162">
        <f t="shared" si="10"/>
        <v>1.0190999999999999</v>
      </c>
      <c r="Y35" s="162">
        <f t="shared" si="11"/>
        <v>1.0190999999999999</v>
      </c>
      <c r="Z35" s="162">
        <f t="shared" si="11"/>
        <v>1.0190999999999999</v>
      </c>
      <c r="AA35" s="162">
        <f t="shared" si="11"/>
        <v>1.0190999999999999</v>
      </c>
      <c r="AB35" s="162">
        <f t="shared" si="11"/>
        <v>1.0190999999999999</v>
      </c>
      <c r="AC35" s="65"/>
      <c r="AD35" s="4"/>
    </row>
    <row r="36" spans="1:31" ht="15.6" hidden="1" customHeight="1" outlineLevel="2" x14ac:dyDescent="0.3">
      <c r="A36" s="166" t="str">
        <f>IF($O$1="de","Teilfaktor für Wb aus Radsatzführung",
IF($O$1="fr","Facteur partiel pour Wb issu de la direction de l'essieu",
IF($O$1="it","Fattore parziale per Wb da guida degli assi",
IF($O$1="en","Sub-factor for Wb from wheelset guidance","select language in cell N1"))))</f>
        <v>Teilfaktor für Wb aus Radsatzführung</v>
      </c>
      <c r="B36" s="167" t="s">
        <v>199</v>
      </c>
      <c r="C36" s="167"/>
      <c r="D36" s="298"/>
      <c r="E36" s="298"/>
      <c r="F36" s="298"/>
      <c r="G36" s="298"/>
      <c r="H36" s="298"/>
      <c r="I36" s="298"/>
      <c r="P36" s="4"/>
      <c r="Q36" s="162">
        <f>IF(J$28="40 kN/mm",0.98,
   IF(J$28="20 kN/mm",0.979,
    IF(J$28="10 kN/mm",0.932,
     IF(J$28="5 kN/mm",0.887,1))))</f>
        <v>0.97899999999999998</v>
      </c>
      <c r="R36" s="162">
        <f>IF(K$28="40 kN/mm",0.98,
   IF(K$28="20 kN/mm",0.979,
    IF(K$28="10 kN/mm",0.932,
     IF(K$28="5 kN/mm",0.887,1))))</f>
        <v>0.93200000000000005</v>
      </c>
      <c r="S36" s="162">
        <f>IF(L$28="40 kN/mm",0.98,
   IF(L$28="20 kN/mm",0.979,
    IF(L$28="10 kN/mm",0.932,
     IF(L$28="5 kN/mm",0.887,1))))</f>
        <v>1</v>
      </c>
      <c r="T36" s="162">
        <f>IF(M$28="40 kN/mm",0.98,
   IF(M$28="20 kN/mm",0.979,
    IF(M$28="10 kN/mm",0.932,
     IF(M$28="5 kN/mm",0.887,1))))</f>
        <v>1</v>
      </c>
      <c r="U36" s="162">
        <f>IF(N$28="40 kN/mm",0.98,
   IF(N$28="20 kN/mm",0.979,
    IF(N$28="10 kN/mm",0.932,
     IF(N$28="5 kN/mm",0.887,1))))</f>
        <v>1</v>
      </c>
      <c r="V36" s="65"/>
      <c r="W36" s="4"/>
      <c r="X36" s="162">
        <f t="shared" si="10"/>
        <v>1.0209999999999999</v>
      </c>
      <c r="Y36" s="162">
        <f t="shared" si="11"/>
        <v>1.0680000000000001</v>
      </c>
      <c r="Z36" s="162">
        <f t="shared" si="11"/>
        <v>1</v>
      </c>
      <c r="AA36" s="162">
        <f t="shared" si="11"/>
        <v>1</v>
      </c>
      <c r="AB36" s="162">
        <f t="shared" si="11"/>
        <v>1</v>
      </c>
      <c r="AC36" s="65"/>
      <c r="AD36" s="4"/>
    </row>
    <row r="37" spans="1:31" ht="15.6" hidden="1" customHeight="1" outlineLevel="2" x14ac:dyDescent="0.3">
      <c r="A37" s="166" t="str">
        <f>IF($O$1="de","Teilfaktor für Wb aus Reibelemente",
IF($O$1="fr","Facteur partiel pour Wb issu des éléments de friction",
IF($O$1="it","Fattore parziale per Wb da elementi di frizione",
IF($O$1="en","Sub-factor for Wb from frictional elements","select language in cell N1"))))</f>
        <v>Teilfaktor für Wb aus Reibelemente</v>
      </c>
      <c r="B37" s="167" t="s">
        <v>200</v>
      </c>
      <c r="C37" s="167"/>
      <c r="D37" s="298"/>
      <c r="E37" s="298"/>
      <c r="F37" s="298"/>
      <c r="G37" s="298"/>
      <c r="H37" s="298"/>
      <c r="I37" s="298"/>
      <c r="P37" s="4"/>
      <c r="Q37" s="162">
        <f>IF(J$31="0.00",1,
   IF(J$31="0.05",0.97,
    IF(J$31="0.10",0.947,
     IF(J$31="0.20",0.916,1))))</f>
        <v>1</v>
      </c>
      <c r="R37" s="162">
        <f>IF(K$31="0.00",1,
   IF(K$31="0.05",0.97,
    IF(K$31="0.10",0.947,
     IF(K$31="0.20",0.916,1))))</f>
        <v>1</v>
      </c>
      <c r="S37" s="162">
        <f>IF(L$31="0.00",1,
   IF(L$31="0.05",0.97,
    IF(L$31="0.10",0.947,
     IF(L$31="0.20",0.916,1))))</f>
        <v>1</v>
      </c>
      <c r="T37" s="162">
        <f>IF(M$31="0.00",1,
   IF(M$31="0.05",0.97,
    IF(M$31="0.10",0.947,
     IF(M$31="0.20",0.916,1))))</f>
        <v>1</v>
      </c>
      <c r="U37" s="162">
        <f>IF(N$31="0.00",1,
   IF(N$31="0.05",0.97,
    IF(N$31="0.10",0.947,
     IF(N$31="0.20",0.916,1))))</f>
        <v>1</v>
      </c>
      <c r="V37" s="65"/>
      <c r="W37" s="4"/>
      <c r="X37" s="162">
        <f t="shared" si="10"/>
        <v>1</v>
      </c>
      <c r="Y37" s="162">
        <f t="shared" si="11"/>
        <v>1</v>
      </c>
      <c r="Z37" s="162">
        <f t="shared" si="11"/>
        <v>1</v>
      </c>
      <c r="AA37" s="162">
        <f t="shared" si="11"/>
        <v>1</v>
      </c>
      <c r="AB37" s="162">
        <f t="shared" si="11"/>
        <v>1</v>
      </c>
      <c r="AC37" s="65"/>
      <c r="AD37" s="4"/>
    </row>
    <row r="38" spans="1:31" ht="15.6" hidden="1" customHeight="1" outlineLevel="2" x14ac:dyDescent="0.3">
      <c r="A38" s="164" t="str">
        <f>IF($O$1="de","Faktor für Wb",
IF($O$1="fr","Facteur pour Wb",
IF($O$1="it","Fattore per Wb",
IF($O$1="en","Factor for Wb","select language in cell N1"))))</f>
        <v>Faktor für Wb</v>
      </c>
      <c r="B38" s="165" t="s">
        <v>201</v>
      </c>
      <c r="C38" s="165"/>
      <c r="D38" s="299" t="s">
        <v>99</v>
      </c>
      <c r="E38" s="299"/>
      <c r="F38" s="299"/>
      <c r="G38" s="299"/>
      <c r="H38" s="299"/>
      <c r="I38" s="299"/>
      <c r="P38" s="4"/>
      <c r="Q38" s="161">
        <f>Q35*Q36*Q37</f>
        <v>0.96030110000000002</v>
      </c>
      <c r="R38" s="161">
        <f t="shared" ref="R38" si="12">R35*R36*R37</f>
        <v>0.91419880000000009</v>
      </c>
      <c r="S38" s="161">
        <f t="shared" ref="S38:U38" si="13">S35*S36*S37</f>
        <v>0.98089999999999999</v>
      </c>
      <c r="T38" s="161">
        <f t="shared" si="13"/>
        <v>0.98089999999999999</v>
      </c>
      <c r="U38" s="161">
        <f t="shared" si="13"/>
        <v>0.98089999999999999</v>
      </c>
      <c r="V38" s="65"/>
      <c r="W38" s="4"/>
      <c r="X38" s="161">
        <f>X35*X36*X37</f>
        <v>1.0405010999999997</v>
      </c>
      <c r="Y38" s="161">
        <f t="shared" ref="Y38" si="14">Y35*Y36*Y37</f>
        <v>1.0883988</v>
      </c>
      <c r="Z38" s="161">
        <f t="shared" ref="Z38:AB38" si="15">Z35*Z36*Z37</f>
        <v>1.0190999999999999</v>
      </c>
      <c r="AA38" s="161">
        <f t="shared" si="15"/>
        <v>1.0190999999999999</v>
      </c>
      <c r="AB38" s="161">
        <f t="shared" si="15"/>
        <v>1.0190999999999999</v>
      </c>
      <c r="AC38" s="65"/>
      <c r="AD38" s="4"/>
    </row>
    <row r="39" spans="1:31" ht="15.6" hidden="1" customHeight="1" outlineLevel="2" x14ac:dyDescent="0.3">
      <c r="A39" s="166" t="str">
        <f>IF($O$1="de","Teilfaktor für YW185 aus Dienstgewichtabweichung",
IF($O$1="fr","Facteur partiel pour YW185 issu de la variation du poids de service",
IF($O$1="it","Fattore parziale per YW185 da scostamento peso in servizio",
IF($O$1="en","Sub-factor for YW185 from service weight deviation","select language in cell N1"))))</f>
        <v>Teilfaktor für YW185 aus Dienstgewichtabweichung</v>
      </c>
      <c r="B39" s="167" t="s">
        <v>202</v>
      </c>
      <c r="C39" s="167"/>
      <c r="D39" s="298"/>
      <c r="E39" s="298"/>
      <c r="F39" s="298"/>
      <c r="G39" s="298"/>
      <c r="H39" s="298"/>
      <c r="I39" s="298"/>
      <c r="P39" s="4"/>
      <c r="Q39" s="162">
        <f>IF(J$26="1%",0.995,
   IF(J$26="2.5%",0.9875,
    IF(J$26="5%",0.975,1)))</f>
        <v>0.98750000000000004</v>
      </c>
      <c r="R39" s="162">
        <f>IF(K$26="1%",0.995,
   IF(K$26="2.5%",0.9875,
    IF(K$26="5%",0.975,1)))</f>
        <v>0.98750000000000004</v>
      </c>
      <c r="S39" s="162">
        <f>IF(L$26="1%",0.995,
   IF(L$26="2.5%",0.9875,
    IF(L$26="5%",0.975,1)))</f>
        <v>0.98750000000000004</v>
      </c>
      <c r="T39" s="162">
        <f>IF(M$26="1%",0.995,
   IF(M$26="2.5%",0.9875,
    IF(M$26="5%",0.975,1)))</f>
        <v>0.98750000000000004</v>
      </c>
      <c r="U39" s="162">
        <f>IF(N$26="1%",0.995,
   IF(N$26="2.5%",0.9875,
    IF(N$26="5%",0.975,1)))</f>
        <v>0.98750000000000004</v>
      </c>
      <c r="V39" s="66"/>
      <c r="W39" s="4"/>
      <c r="X39" s="162">
        <f t="shared" si="10"/>
        <v>1.0125</v>
      </c>
      <c r="Y39" s="162">
        <f t="shared" ref="Y39:AB43" si="16">2-R39</f>
        <v>1.0125</v>
      </c>
      <c r="Z39" s="162">
        <f t="shared" si="16"/>
        <v>1.0125</v>
      </c>
      <c r="AA39" s="162">
        <f t="shared" si="16"/>
        <v>1.0125</v>
      </c>
      <c r="AB39" s="162">
        <f t="shared" si="16"/>
        <v>1.0125</v>
      </c>
      <c r="AC39" s="66"/>
      <c r="AD39" s="4"/>
    </row>
    <row r="40" spans="1:31" ht="15.6" hidden="1" customHeight="1" outlineLevel="2" x14ac:dyDescent="0.3">
      <c r="A40" s="166" t="str">
        <f>IF($O$1="de","Teilfaktor für YW185 aus Radsatzführung",
IF($O$1="fr","Facteur partiel pour YW185 issu de la direction de l'essieu",
IF($O$1="it","Fattore parziale per YW185 da guida degli assi",
IF($O$1="en","Sub-factor for YW185 from wheelset guidance","select language in cell N1"))))</f>
        <v>Teilfaktor für YW185 aus Radsatzführung</v>
      </c>
      <c r="B40" s="167" t="s">
        <v>203</v>
      </c>
      <c r="C40" s="167"/>
      <c r="D40" s="298"/>
      <c r="E40" s="298"/>
      <c r="F40" s="298"/>
      <c r="G40" s="298"/>
      <c r="H40" s="298"/>
      <c r="I40" s="298"/>
      <c r="P40" s="4"/>
      <c r="Q40" s="162">
        <f>IF(J$28="40 kN/mm",1,
   IF(J$28="20 kN/mm",1,
    IF(J$28="10 kN/mm",1,
     IF(J$28="5 kN/mm",0.992,1))))</f>
        <v>1</v>
      </c>
      <c r="R40" s="162">
        <f>IF(K$28="40 kN/mm",1,
   IF(K$28="20 kN/mm",1,
    IF(K$28="10 kN/mm",1,
     IF(K$28="5 kN/mm",0.992,1))))</f>
        <v>1</v>
      </c>
      <c r="S40" s="162">
        <f>IF(L$28="40 kN/mm",1,
   IF(L$28="20 kN/mm",1,
    IF(L$28="10 kN/mm",1,
     IF(L$28="5 kN/mm",0.992,1))))</f>
        <v>1</v>
      </c>
      <c r="T40" s="162">
        <f>IF(M$28="40 kN/mm",1,
   IF(M$28="20 kN/mm",1,
    IF(M$28="10 kN/mm",1,
     IF(M$28="5 kN/mm",0.992,1))))</f>
        <v>1</v>
      </c>
      <c r="U40" s="162">
        <f>IF(N$28="40 kN/mm",1,
   IF(N$28="20 kN/mm",1,
    IF(N$28="10 kN/mm",1,
     IF(N$28="5 kN/mm",0.992,1))))</f>
        <v>1</v>
      </c>
      <c r="V40" s="66"/>
      <c r="W40" s="4"/>
      <c r="X40" s="162">
        <f t="shared" si="10"/>
        <v>1</v>
      </c>
      <c r="Y40" s="162">
        <f t="shared" si="16"/>
        <v>1</v>
      </c>
      <c r="Z40" s="162">
        <f t="shared" si="16"/>
        <v>1</v>
      </c>
      <c r="AA40" s="162">
        <f t="shared" si="16"/>
        <v>1</v>
      </c>
      <c r="AB40" s="162">
        <f t="shared" si="16"/>
        <v>1</v>
      </c>
      <c r="AC40" s="66"/>
      <c r="AD40" s="4"/>
    </row>
    <row r="41" spans="1:31" ht="15.6" hidden="1" customHeight="1" outlineLevel="2" x14ac:dyDescent="0.3">
      <c r="A41" s="166" t="str">
        <f>IF($O$1="de","Teilfaktor für YW185 aus Schlingerdämpfung",
IF($O$1="fr","Facteur partiel pour YW185 issu de l'amortissement anti-lacet",
IF($O$1="it","Fattore parziale per YW185 da ammortizzazione antiserpeggio",
IF($O$1="en","Sub-factor for YW185 from yaw damping","select language in cell N1"))))</f>
        <v>Teilfaktor für YW185 aus Schlingerdämpfung</v>
      </c>
      <c r="B41" s="167" t="s">
        <v>204</v>
      </c>
      <c r="C41" s="167"/>
      <c r="D41" s="298"/>
      <c r="E41" s="298"/>
      <c r="F41" s="298"/>
      <c r="G41" s="298"/>
      <c r="H41" s="298"/>
      <c r="I41" s="298"/>
      <c r="P41" s="4"/>
      <c r="Q41" s="162">
        <f>IF(J$29="0%",1,
    IF(J$29="20%",0.974,1))</f>
        <v>0.97399999999999998</v>
      </c>
      <c r="R41" s="162">
        <f>IF(K$29="0%",1,
    IF(K$29="20%",0.974,1))</f>
        <v>1</v>
      </c>
      <c r="S41" s="162">
        <f>IF(L$29="0%",1,
    IF(L$29="20%",0.974,1))</f>
        <v>1</v>
      </c>
      <c r="T41" s="162">
        <f>IF(M$29="0%",1,
    IF(M$29="20%",0.974,1))</f>
        <v>1</v>
      </c>
      <c r="U41" s="162">
        <f>IF(N$29="0%",1,
    IF(N$29="20%",0.974,1))</f>
        <v>1</v>
      </c>
      <c r="V41" s="66"/>
      <c r="W41" s="4"/>
      <c r="X41" s="162">
        <f t="shared" si="10"/>
        <v>1.026</v>
      </c>
      <c r="Y41" s="162">
        <f t="shared" si="16"/>
        <v>1</v>
      </c>
      <c r="Z41" s="162">
        <f t="shared" si="16"/>
        <v>1</v>
      </c>
      <c r="AA41" s="162">
        <f t="shared" si="16"/>
        <v>1</v>
      </c>
      <c r="AB41" s="162">
        <f t="shared" si="16"/>
        <v>1</v>
      </c>
      <c r="AC41" s="66"/>
      <c r="AD41" s="4"/>
    </row>
    <row r="42" spans="1:31" ht="15.6" hidden="1" customHeight="1" outlineLevel="2" x14ac:dyDescent="0.3">
      <c r="A42" s="166" t="str">
        <f>IF($O$1="de","Teilfaktor für YW185 aus Massenträgheitsmoment",
IF($O$1="fr","Facteur partiel pour YW185 issu du moment d'inertie de masse",
IF($O$1="it","Fattore parziale per YW185 da momento di inerzia di massa",
IF($O$1="en","Sub-factor for YW185 from mass moment of inertia","select language in cell N1"))))</f>
        <v>Teilfaktor für YW185 aus Massenträgheitsmoment</v>
      </c>
      <c r="B42" s="167" t="s">
        <v>205</v>
      </c>
      <c r="C42" s="167"/>
      <c r="D42" s="298"/>
      <c r="E42" s="298"/>
      <c r="F42" s="298"/>
      <c r="G42" s="298"/>
      <c r="H42" s="298"/>
      <c r="I42" s="298"/>
      <c r="P42" s="4"/>
      <c r="Q42" s="162">
        <f>IF(J$30="20%",0.9886,
    IF(J$30="40%",0.9834,1))</f>
        <v>0.98340000000000005</v>
      </c>
      <c r="R42" s="162">
        <f>IF(K$30="20%",0.9886,
    IF(K$30="40%",0.9834,1))</f>
        <v>0.98340000000000005</v>
      </c>
      <c r="S42" s="162">
        <f>IF(L$30="20%",0.9886,
    IF(L$30="40%",0.9834,1))</f>
        <v>1</v>
      </c>
      <c r="T42" s="162">
        <f>IF(M$30="20%",0.9886,
    IF(M$30="40%",0.9834,1))</f>
        <v>1</v>
      </c>
      <c r="U42" s="162">
        <f>IF(N$30="20%",0.9886,
    IF(N$30="40%",0.9834,1))</f>
        <v>1</v>
      </c>
      <c r="V42" s="66"/>
      <c r="W42" s="4"/>
      <c r="X42" s="162">
        <f t="shared" si="10"/>
        <v>1.0165999999999999</v>
      </c>
      <c r="Y42" s="162">
        <f t="shared" si="16"/>
        <v>1.0165999999999999</v>
      </c>
      <c r="Z42" s="162">
        <f t="shared" si="16"/>
        <v>1</v>
      </c>
      <c r="AA42" s="162">
        <f t="shared" si="16"/>
        <v>1</v>
      </c>
      <c r="AB42" s="162">
        <f t="shared" si="16"/>
        <v>1</v>
      </c>
      <c r="AC42" s="66"/>
      <c r="AD42" s="4"/>
    </row>
    <row r="43" spans="1:31" ht="15.6" hidden="1" customHeight="1" outlineLevel="2" x14ac:dyDescent="0.3">
      <c r="A43" s="166" t="str">
        <f>IF($O$1="de","Teilfaktor für YW185 aus Reibelemente",
IF($O$1="fr","Facteur partiel pour YW185 issu des éléments de friction",
IF($O$1="it","Fattore parziale per YW185 da elementi di frizione",
IF($O$1="en","Sub-factor for YW185 from frictional elements","select language in cell N1"))))</f>
        <v>Teilfaktor für YW185 aus Reibelemente</v>
      </c>
      <c r="B43" s="167" t="s">
        <v>206</v>
      </c>
      <c r="C43" s="167"/>
      <c r="D43" s="298"/>
      <c r="E43" s="298"/>
      <c r="F43" s="298"/>
      <c r="G43" s="298"/>
      <c r="H43" s="298"/>
      <c r="I43" s="298"/>
      <c r="P43" s="4"/>
      <c r="Q43" s="162">
        <f>IF(J$31="0.00",1,
   IF(J$31="0.05",0.9573,
    IF(J$31="0.10",0.9298,
     IF(J$31="0.20",0.9072,1))))</f>
        <v>1</v>
      </c>
      <c r="R43" s="162">
        <f>IF(K$31="0.00",1,
   IF(K$31="0.05",0.9573,
    IF(K$31="0.10",0.9298,
     IF(K$31="0.20",0.9072,1))))</f>
        <v>1</v>
      </c>
      <c r="S43" s="162">
        <f>IF(L$31="0.00",1,
   IF(L$31="0.05",0.9573,
    IF(L$31="0.10",0.9298,
     IF(L$31="0.20",0.9072,1))))</f>
        <v>1</v>
      </c>
      <c r="T43" s="162">
        <f>IF(M$31="0.00",1,
   IF(M$31="0.05",0.9573,
    IF(M$31="0.10",0.9298,
     IF(M$31="0.20",0.9072,1))))</f>
        <v>1</v>
      </c>
      <c r="U43" s="162">
        <f>IF(N$31="0.00",1,
   IF(N$31="0.05",0.9573,
    IF(N$31="0.10",0.9298,
     IF(N$31="0.20",0.9072,1))))</f>
        <v>1</v>
      </c>
      <c r="V43" s="66"/>
      <c r="W43" s="4"/>
      <c r="X43" s="162">
        <f t="shared" si="10"/>
        <v>1</v>
      </c>
      <c r="Y43" s="162">
        <f t="shared" si="16"/>
        <v>1</v>
      </c>
      <c r="Z43" s="162">
        <f t="shared" si="16"/>
        <v>1</v>
      </c>
      <c r="AA43" s="162">
        <f t="shared" si="16"/>
        <v>1</v>
      </c>
      <c r="AB43" s="162">
        <f t="shared" si="16"/>
        <v>1</v>
      </c>
      <c r="AC43" s="66"/>
      <c r="AD43" s="4"/>
    </row>
    <row r="44" spans="1:31" ht="15.6" hidden="1" customHeight="1" outlineLevel="2" x14ac:dyDescent="0.3">
      <c r="A44" s="164" t="str">
        <f>IF($O$1="de","Faktor für YW185",
IF($O$1="fr","Facteur pour  YW185",
IF($O$1="it","Fattore per YW185",
IF($O$1="en","Factor for YW185","select language in cell N1"))))</f>
        <v>Faktor für YW185</v>
      </c>
      <c r="B44" s="165" t="s">
        <v>207</v>
      </c>
      <c r="C44" s="165"/>
      <c r="D44" s="299" t="s">
        <v>160</v>
      </c>
      <c r="E44" s="299"/>
      <c r="F44" s="299"/>
      <c r="G44" s="299"/>
      <c r="H44" s="299"/>
      <c r="I44" s="299"/>
      <c r="P44" s="4"/>
      <c r="Q44" s="161">
        <f>Q39*Q40*Q41*Q42*Q43</f>
        <v>0.94585870500000013</v>
      </c>
      <c r="R44" s="161">
        <f t="shared" ref="R44" si="17">R39*R40*R41*R42*R43</f>
        <v>0.97110750000000012</v>
      </c>
      <c r="S44" s="161">
        <f t="shared" ref="S44:U44" si="18">S39*S40*S41*S42*S43</f>
        <v>0.98750000000000004</v>
      </c>
      <c r="T44" s="161">
        <f t="shared" si="18"/>
        <v>0.98750000000000004</v>
      </c>
      <c r="U44" s="161">
        <f t="shared" si="18"/>
        <v>0.98750000000000004</v>
      </c>
      <c r="V44" s="66"/>
      <c r="W44" s="4"/>
      <c r="X44" s="161">
        <f>X39*X40*X41*X42*X43</f>
        <v>1.0560694949999998</v>
      </c>
      <c r="Y44" s="161">
        <f t="shared" ref="Y44" si="19">Y39*Y40*Y41*Y42*Y43</f>
        <v>1.0293074999999998</v>
      </c>
      <c r="Z44" s="161">
        <f t="shared" ref="Z44:AB44" si="20">Z39*Z40*Z41*Z42*Z43</f>
        <v>1.0125</v>
      </c>
      <c r="AA44" s="161">
        <f t="shared" si="20"/>
        <v>1.0125</v>
      </c>
      <c r="AB44" s="161">
        <f t="shared" si="20"/>
        <v>1.0125</v>
      </c>
      <c r="AC44" s="66"/>
      <c r="AD44" s="4"/>
    </row>
    <row r="45" spans="1:31" ht="13.15" customHeight="1" x14ac:dyDescent="0.2">
      <c r="A45" s="93"/>
      <c r="B45" s="93"/>
      <c r="C45" s="93"/>
      <c r="D45" s="93"/>
      <c r="E45" s="93"/>
      <c r="F45" s="93"/>
      <c r="G45" s="93"/>
      <c r="H45" s="93"/>
      <c r="I45" s="93"/>
      <c r="J45" s="300"/>
      <c r="K45" s="300"/>
      <c r="L45" s="300"/>
      <c r="M45" s="300"/>
      <c r="N45" s="300"/>
      <c r="P45" s="4"/>
      <c r="Q45" s="300"/>
      <c r="R45" s="300"/>
      <c r="S45" s="300"/>
      <c r="T45" s="300"/>
      <c r="U45" s="300"/>
      <c r="V45" s="66"/>
      <c r="W45" s="4"/>
      <c r="X45" s="300"/>
      <c r="Y45" s="300"/>
      <c r="Z45" s="300"/>
      <c r="AA45" s="300"/>
      <c r="AB45" s="300"/>
      <c r="AC45" s="66"/>
      <c r="AD45" s="4"/>
      <c r="AE45" s="3"/>
    </row>
    <row r="46" spans="1:31" s="63" customFormat="1" ht="18" x14ac:dyDescent="0.25">
      <c r="A46" s="67" t="str">
        <f>IF($O$1="de","Berechnung der Interaktionsgrössen",
IF($O$1="fr","Calcul des grandeurs d'interaction",
IF($O$1="it","Calcolo delle grandezze di interazione",
IF($O$1="en","Calculation of interaction variables","select language in cell N1"))))</f>
        <v>Berechnung der Interaktionsgrössen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9"/>
      <c r="O46" s="69"/>
      <c r="P46" s="62"/>
      <c r="Q46" s="168"/>
      <c r="R46" s="168"/>
      <c r="S46" s="168"/>
      <c r="T46" s="168"/>
      <c r="U46" s="168"/>
      <c r="V46" s="66"/>
      <c r="W46" s="62"/>
      <c r="X46" s="168"/>
      <c r="Y46" s="168"/>
      <c r="Z46" s="168"/>
      <c r="AA46" s="168"/>
      <c r="AB46" s="168"/>
      <c r="AC46" s="66"/>
      <c r="AD46" s="62"/>
    </row>
    <row r="47" spans="1:31" ht="27" customHeight="1" outlineLevel="1" x14ac:dyDescent="0.3">
      <c r="A47" s="11" t="str">
        <f>IF($O$1="de","Koeffizient a für dynamische Radkraft",
IF($O$1="fr","Coefficient a pour les forces de roues dynamiques",
IF($O$1="it","Coefficiente a per forza dinamica alla ruota",
IF($O$1="en","Coefficient a for dynamic wheel force","select language in cell N1"))))</f>
        <v>Koeffizient a für dynamische Radkraft</v>
      </c>
      <c r="B47" s="11" t="s">
        <v>35</v>
      </c>
      <c r="C47" s="11"/>
      <c r="D47" s="289"/>
      <c r="E47" s="290"/>
      <c r="F47" s="290"/>
      <c r="G47" s="290"/>
      <c r="H47" s="290"/>
      <c r="I47" s="291"/>
      <c r="J47" s="73">
        <f>0.0437445*J17*((SQRT(J17+245)-5.52591)/(J17+245))</f>
        <v>0.89751322377820164</v>
      </c>
      <c r="K47" s="73">
        <f>0.0437445*K17*((SQRT(K17+245)-5.52591)/(K17+245))</f>
        <v>0.63910356699091431</v>
      </c>
      <c r="L47" s="73">
        <f>0.0437445*L17*((SQRT(L17+245)-5.52591)/(L17+245))</f>
        <v>0</v>
      </c>
      <c r="M47" s="73">
        <f>0.0437445*M17*((SQRT(M17+245)-5.52591)/(M17+245))</f>
        <v>0</v>
      </c>
      <c r="N47" s="73">
        <f>0.0437445*N17*((SQRT(N17+245)-5.52591)/(N17+245))</f>
        <v>0</v>
      </c>
      <c r="O47" s="74"/>
      <c r="P47" s="75"/>
      <c r="Q47" s="169">
        <f>0.0437445*Q17*((SQRT(Q17+245)-5.52591)/(Q17+245))</f>
        <v>0.84657990679122819</v>
      </c>
      <c r="R47" s="169">
        <f>0.0437445*R17*((SQRT(R17+245)-5.52591)/(R17+245))</f>
        <v>0.61490065334762567</v>
      </c>
      <c r="S47" s="169">
        <f>0.0437445*S17*((SQRT(S17+245)-5.52591)/(S17+245))</f>
        <v>0</v>
      </c>
      <c r="T47" s="169">
        <f>0.0437445*T17*((SQRT(T17+245)-5.52591)/(T17+245))</f>
        <v>0</v>
      </c>
      <c r="U47" s="169">
        <f>0.0437445*U17*((SQRT(U17+245)-5.52591)/(U17+245))</f>
        <v>0</v>
      </c>
      <c r="W47" s="4"/>
      <c r="X47" s="169">
        <f>0.0437445*X17*((SQRT(X17+245)-5.52591)/(X17+245))</f>
        <v>0.94661049825074617</v>
      </c>
      <c r="Y47" s="169">
        <f>0.0437445*Y17*((SQRT(Y17+245)-5.52591)/(Y17+245))</f>
        <v>0.66281757421437626</v>
      </c>
      <c r="Z47" s="169">
        <f>0.0437445*Z17*((SQRT(Z17+245)-5.52591)/(Z17+245))</f>
        <v>0</v>
      </c>
      <c r="AA47" s="169">
        <f>0.0437445*AA17*((SQRT(AA17+245)-5.52591)/(AA17+245))</f>
        <v>0</v>
      </c>
      <c r="AB47" s="169">
        <f>0.0437445*AB17*((SQRT(AB17+245)-5.52591)/(AB17+245))</f>
        <v>0</v>
      </c>
      <c r="AD47" s="4"/>
    </row>
    <row r="48" spans="1:31" ht="16.5" outlineLevel="1" thickBot="1" x14ac:dyDescent="0.35">
      <c r="A48" s="13" t="str">
        <f>IF($O$1="de","Koeffizient b für dynamische Radkraft",
IF($O$1="fr","Coefficient b pour les forces de roues dynamiques",
IF($O$1="it","Coefficiente b per forza dinamica alla ruota",
IF($O$1="en","Coefficient b for dynamic wheel force","select language in cell N1"))))</f>
        <v>Koeffizient b für dynamische Radkraft</v>
      </c>
      <c r="B48" s="13" t="s">
        <v>34</v>
      </c>
      <c r="C48" s="13"/>
      <c r="D48" s="284" t="s">
        <v>42</v>
      </c>
      <c r="E48" s="285"/>
      <c r="F48" s="285"/>
      <c r="G48" s="285"/>
      <c r="H48" s="285"/>
      <c r="I48" s="286"/>
      <c r="J48" s="76">
        <f>J16</f>
        <v>75</v>
      </c>
      <c r="K48" s="76">
        <f>K16</f>
        <v>50</v>
      </c>
      <c r="L48" s="76">
        <f>L16</f>
        <v>0</v>
      </c>
      <c r="M48" s="76">
        <f>M16</f>
        <v>0</v>
      </c>
      <c r="N48" s="76">
        <f>N16</f>
        <v>0</v>
      </c>
      <c r="O48" s="74"/>
      <c r="P48" s="75"/>
      <c r="Q48" s="171">
        <f>Q16</f>
        <v>73.125</v>
      </c>
      <c r="R48" s="171">
        <f>R16</f>
        <v>48.75</v>
      </c>
      <c r="S48" s="171">
        <f>S16</f>
        <v>0</v>
      </c>
      <c r="T48" s="171">
        <f>T16</f>
        <v>0</v>
      </c>
      <c r="U48" s="171">
        <f>U16</f>
        <v>0</v>
      </c>
      <c r="W48" s="4"/>
      <c r="X48" s="171">
        <f>X16</f>
        <v>76.875</v>
      </c>
      <c r="Y48" s="171">
        <f>Y16</f>
        <v>51.249999999999993</v>
      </c>
      <c r="Z48" s="171">
        <f>Z16</f>
        <v>0</v>
      </c>
      <c r="AA48" s="171">
        <f>AA16</f>
        <v>0</v>
      </c>
      <c r="AB48" s="171">
        <f>AB16</f>
        <v>0</v>
      </c>
      <c r="AD48" s="4"/>
    </row>
    <row r="49" spans="1:35" ht="15.75" outlineLevel="1" x14ac:dyDescent="0.3">
      <c r="A49" s="205">
        <f>O10</f>
        <v>40</v>
      </c>
      <c r="B49" s="129" t="s">
        <v>146</v>
      </c>
      <c r="C49" s="129" t="s">
        <v>26</v>
      </c>
      <c r="D49" s="292" t="s">
        <v>147</v>
      </c>
      <c r="E49" s="293"/>
      <c r="F49" s="293"/>
      <c r="G49" s="293"/>
      <c r="H49" s="293"/>
      <c r="I49" s="294"/>
      <c r="J49" s="14">
        <f>J$47*$A49+J$48</f>
        <v>110.90052895112807</v>
      </c>
      <c r="K49" s="14">
        <f t="shared" ref="K49:N49" si="21">K$47*$A49+K$48</f>
        <v>75.564142679636575</v>
      </c>
      <c r="L49" s="14">
        <f t="shared" si="21"/>
        <v>0</v>
      </c>
      <c r="M49" s="14">
        <f t="shared" si="21"/>
        <v>0</v>
      </c>
      <c r="N49" s="14">
        <f t="shared" si="21"/>
        <v>0</v>
      </c>
      <c r="O49" s="74"/>
      <c r="P49" s="75"/>
      <c r="Q49" s="170">
        <f t="shared" ref="Q49:U49" si="22">Q$47*$A49+Q$48</f>
        <v>106.98819627164913</v>
      </c>
      <c r="R49" s="170">
        <f t="shared" si="22"/>
        <v>73.346026133905028</v>
      </c>
      <c r="S49" s="170">
        <f t="shared" si="22"/>
        <v>0</v>
      </c>
      <c r="T49" s="170">
        <f t="shared" si="22"/>
        <v>0</v>
      </c>
      <c r="U49" s="170">
        <f t="shared" si="22"/>
        <v>0</v>
      </c>
      <c r="W49" s="4"/>
      <c r="X49" s="170">
        <f t="shared" ref="X49:AB55" si="23">X$47*$A49+X$48</f>
        <v>114.73941993002984</v>
      </c>
      <c r="Y49" s="170">
        <f t="shared" si="23"/>
        <v>77.762702968575041</v>
      </c>
      <c r="Z49" s="170">
        <f t="shared" si="23"/>
        <v>0</v>
      </c>
      <c r="AA49" s="170">
        <f t="shared" si="23"/>
        <v>0</v>
      </c>
      <c r="AB49" s="170">
        <f t="shared" si="23"/>
        <v>0</v>
      </c>
      <c r="AD49" s="4"/>
    </row>
    <row r="50" spans="1:35" ht="15.75" outlineLevel="1" x14ac:dyDescent="0.3">
      <c r="A50" s="205">
        <v>75</v>
      </c>
      <c r="B50" s="11" t="s">
        <v>32</v>
      </c>
      <c r="C50" s="11" t="s">
        <v>26</v>
      </c>
      <c r="D50" s="295" t="s">
        <v>82</v>
      </c>
      <c r="E50" s="296"/>
      <c r="F50" s="296"/>
      <c r="G50" s="296"/>
      <c r="H50" s="296"/>
      <c r="I50" s="297"/>
      <c r="J50" s="73">
        <f t="shared" ref="J50:U55" si="24">J$47*$A50+J$48</f>
        <v>142.31349178336512</v>
      </c>
      <c r="K50" s="73">
        <f t="shared" si="24"/>
        <v>97.932767524318564</v>
      </c>
      <c r="L50" s="73">
        <f t="shared" si="24"/>
        <v>0</v>
      </c>
      <c r="M50" s="73">
        <f t="shared" si="24"/>
        <v>0</v>
      </c>
      <c r="N50" s="73">
        <f t="shared" si="24"/>
        <v>0</v>
      </c>
      <c r="O50" s="74"/>
      <c r="P50" s="75"/>
      <c r="Q50" s="169">
        <f t="shared" si="24"/>
        <v>136.6184930093421</v>
      </c>
      <c r="R50" s="169">
        <f t="shared" si="24"/>
        <v>94.867549001071922</v>
      </c>
      <c r="S50" s="169">
        <f t="shared" si="24"/>
        <v>0</v>
      </c>
      <c r="T50" s="169">
        <f t="shared" si="24"/>
        <v>0</v>
      </c>
      <c r="U50" s="169">
        <f t="shared" si="24"/>
        <v>0</v>
      </c>
      <c r="W50" s="4"/>
      <c r="X50" s="169">
        <f t="shared" si="23"/>
        <v>147.87078736880596</v>
      </c>
      <c r="Y50" s="169">
        <f t="shared" si="23"/>
        <v>100.96131806607821</v>
      </c>
      <c r="Z50" s="169">
        <f t="shared" si="23"/>
        <v>0</v>
      </c>
      <c r="AA50" s="169">
        <f t="shared" si="23"/>
        <v>0</v>
      </c>
      <c r="AB50" s="169">
        <f t="shared" si="23"/>
        <v>0</v>
      </c>
      <c r="AD50" s="4"/>
    </row>
    <row r="51" spans="1:35" ht="15.75" outlineLevel="1" x14ac:dyDescent="0.3">
      <c r="A51" s="205">
        <v>90</v>
      </c>
      <c r="B51" s="11" t="s">
        <v>31</v>
      </c>
      <c r="C51" s="11" t="s">
        <v>26</v>
      </c>
      <c r="D51" s="269" t="s">
        <v>83</v>
      </c>
      <c r="E51" s="270"/>
      <c r="F51" s="270"/>
      <c r="G51" s="270"/>
      <c r="H51" s="270"/>
      <c r="I51" s="271"/>
      <c r="J51" s="73">
        <f t="shared" si="24"/>
        <v>155.77619014003815</v>
      </c>
      <c r="K51" s="73">
        <f t="shared" si="24"/>
        <v>107.51932102918229</v>
      </c>
      <c r="L51" s="73">
        <f t="shared" si="24"/>
        <v>0</v>
      </c>
      <c r="M51" s="73">
        <f t="shared" si="24"/>
        <v>0</v>
      </c>
      <c r="N51" s="73">
        <f t="shared" si="24"/>
        <v>0</v>
      </c>
      <c r="O51" s="74"/>
      <c r="P51" s="75"/>
      <c r="Q51" s="169">
        <f t="shared" si="24"/>
        <v>149.31719161121055</v>
      </c>
      <c r="R51" s="169">
        <f t="shared" si="24"/>
        <v>104.09105880128631</v>
      </c>
      <c r="S51" s="169">
        <f t="shared" si="24"/>
        <v>0</v>
      </c>
      <c r="T51" s="169">
        <f t="shared" si="24"/>
        <v>0</v>
      </c>
      <c r="U51" s="169">
        <f t="shared" si="24"/>
        <v>0</v>
      </c>
      <c r="W51" s="4"/>
      <c r="X51" s="169">
        <f t="shared" si="23"/>
        <v>162.06994484256717</v>
      </c>
      <c r="Y51" s="169">
        <f t="shared" si="23"/>
        <v>110.90358167929386</v>
      </c>
      <c r="Z51" s="169">
        <f t="shared" si="23"/>
        <v>0</v>
      </c>
      <c r="AA51" s="169">
        <f t="shared" si="23"/>
        <v>0</v>
      </c>
      <c r="AB51" s="169">
        <f t="shared" si="23"/>
        <v>0</v>
      </c>
      <c r="AD51" s="4"/>
    </row>
    <row r="52" spans="1:35" ht="15.75" outlineLevel="1" x14ac:dyDescent="0.3">
      <c r="A52" s="205">
        <v>110</v>
      </c>
      <c r="B52" s="11" t="s">
        <v>30</v>
      </c>
      <c r="C52" s="11" t="s">
        <v>26</v>
      </c>
      <c r="D52" s="269" t="s">
        <v>84</v>
      </c>
      <c r="E52" s="270"/>
      <c r="F52" s="270"/>
      <c r="G52" s="270"/>
      <c r="H52" s="270"/>
      <c r="I52" s="271"/>
      <c r="J52" s="73">
        <f t="shared" si="24"/>
        <v>173.72645461560217</v>
      </c>
      <c r="K52" s="73">
        <f t="shared" si="24"/>
        <v>120.30139236900057</v>
      </c>
      <c r="L52" s="73">
        <f t="shared" si="24"/>
        <v>0</v>
      </c>
      <c r="M52" s="73">
        <f t="shared" si="24"/>
        <v>0</v>
      </c>
      <c r="N52" s="73">
        <f t="shared" si="24"/>
        <v>0</v>
      </c>
      <c r="O52" s="74"/>
      <c r="P52" s="75"/>
      <c r="Q52" s="169">
        <f t="shared" si="24"/>
        <v>166.24878974703512</v>
      </c>
      <c r="R52" s="169">
        <f t="shared" si="24"/>
        <v>116.38907186823883</v>
      </c>
      <c r="S52" s="169">
        <f t="shared" si="24"/>
        <v>0</v>
      </c>
      <c r="T52" s="169">
        <f t="shared" si="24"/>
        <v>0</v>
      </c>
      <c r="U52" s="169">
        <f t="shared" si="24"/>
        <v>0</v>
      </c>
      <c r="W52" s="4"/>
      <c r="X52" s="169">
        <f t="shared" si="23"/>
        <v>181.00215480758209</v>
      </c>
      <c r="Y52" s="169">
        <f t="shared" si="23"/>
        <v>124.15993316358137</v>
      </c>
      <c r="Z52" s="169">
        <f t="shared" si="23"/>
        <v>0</v>
      </c>
      <c r="AA52" s="169">
        <f t="shared" si="23"/>
        <v>0</v>
      </c>
      <c r="AB52" s="169">
        <f t="shared" si="23"/>
        <v>0</v>
      </c>
      <c r="AD52" s="4"/>
    </row>
    <row r="53" spans="1:35" ht="15.75" outlineLevel="1" x14ac:dyDescent="0.3">
      <c r="A53" s="205">
        <v>130</v>
      </c>
      <c r="B53" s="11" t="s">
        <v>29</v>
      </c>
      <c r="C53" s="11" t="s">
        <v>26</v>
      </c>
      <c r="D53" s="269" t="s">
        <v>85</v>
      </c>
      <c r="E53" s="270"/>
      <c r="F53" s="270"/>
      <c r="G53" s="270"/>
      <c r="H53" s="270"/>
      <c r="I53" s="271"/>
      <c r="J53" s="73">
        <f t="shared" si="24"/>
        <v>191.67671909116621</v>
      </c>
      <c r="K53" s="73">
        <f t="shared" si="24"/>
        <v>133.08346370881884</v>
      </c>
      <c r="L53" s="73">
        <f t="shared" si="24"/>
        <v>0</v>
      </c>
      <c r="M53" s="73">
        <f t="shared" si="24"/>
        <v>0</v>
      </c>
      <c r="N53" s="73">
        <f t="shared" si="24"/>
        <v>0</v>
      </c>
      <c r="O53" s="74"/>
      <c r="P53" s="75"/>
      <c r="Q53" s="169">
        <f t="shared" si="24"/>
        <v>183.18038788285966</v>
      </c>
      <c r="R53" s="169">
        <f t="shared" si="24"/>
        <v>128.68708493519134</v>
      </c>
      <c r="S53" s="169">
        <f t="shared" si="24"/>
        <v>0</v>
      </c>
      <c r="T53" s="169">
        <f t="shared" si="24"/>
        <v>0</v>
      </c>
      <c r="U53" s="169">
        <f t="shared" si="24"/>
        <v>0</v>
      </c>
      <c r="W53" s="4"/>
      <c r="X53" s="169">
        <f t="shared" si="23"/>
        <v>199.93436477259701</v>
      </c>
      <c r="Y53" s="169">
        <f t="shared" si="23"/>
        <v>137.41628464786891</v>
      </c>
      <c r="Z53" s="169">
        <f t="shared" si="23"/>
        <v>0</v>
      </c>
      <c r="AA53" s="169">
        <f t="shared" si="23"/>
        <v>0</v>
      </c>
      <c r="AB53" s="169">
        <f t="shared" si="23"/>
        <v>0</v>
      </c>
      <c r="AD53" s="4"/>
    </row>
    <row r="54" spans="1:35" ht="15.75" outlineLevel="1" x14ac:dyDescent="0.3">
      <c r="A54" s="205">
        <v>150</v>
      </c>
      <c r="B54" s="11" t="s">
        <v>28</v>
      </c>
      <c r="C54" s="11" t="s">
        <v>26</v>
      </c>
      <c r="D54" s="269" t="s">
        <v>86</v>
      </c>
      <c r="E54" s="270"/>
      <c r="F54" s="270"/>
      <c r="G54" s="270"/>
      <c r="H54" s="270"/>
      <c r="I54" s="271"/>
      <c r="J54" s="73">
        <f t="shared" si="24"/>
        <v>209.62698356673025</v>
      </c>
      <c r="K54" s="73">
        <f t="shared" si="24"/>
        <v>145.86553504863713</v>
      </c>
      <c r="L54" s="73">
        <f t="shared" si="24"/>
        <v>0</v>
      </c>
      <c r="M54" s="73">
        <f t="shared" si="24"/>
        <v>0</v>
      </c>
      <c r="N54" s="73">
        <f t="shared" si="24"/>
        <v>0</v>
      </c>
      <c r="O54" s="74"/>
      <c r="P54" s="75"/>
      <c r="Q54" s="169">
        <f t="shared" si="24"/>
        <v>200.11198601868423</v>
      </c>
      <c r="R54" s="169">
        <f t="shared" si="24"/>
        <v>140.98509800214384</v>
      </c>
      <c r="S54" s="169">
        <f t="shared" si="24"/>
        <v>0</v>
      </c>
      <c r="T54" s="169">
        <f t="shared" si="24"/>
        <v>0</v>
      </c>
      <c r="U54" s="169">
        <f t="shared" si="24"/>
        <v>0</v>
      </c>
      <c r="W54" s="4"/>
      <c r="X54" s="169">
        <f t="shared" si="23"/>
        <v>218.86657473761193</v>
      </c>
      <c r="Y54" s="169">
        <f t="shared" si="23"/>
        <v>150.67263613215644</v>
      </c>
      <c r="Z54" s="169">
        <f t="shared" si="23"/>
        <v>0</v>
      </c>
      <c r="AA54" s="169">
        <f t="shared" si="23"/>
        <v>0</v>
      </c>
      <c r="AB54" s="169">
        <f t="shared" si="23"/>
        <v>0</v>
      </c>
      <c r="AD54" s="4"/>
    </row>
    <row r="55" spans="1:35" ht="16.5" outlineLevel="1" thickBot="1" x14ac:dyDescent="0.35">
      <c r="A55" s="206">
        <v>200</v>
      </c>
      <c r="B55" s="13" t="s">
        <v>27</v>
      </c>
      <c r="C55" s="13" t="s">
        <v>26</v>
      </c>
      <c r="D55" s="284" t="s">
        <v>87</v>
      </c>
      <c r="E55" s="285"/>
      <c r="F55" s="285"/>
      <c r="G55" s="285"/>
      <c r="H55" s="285"/>
      <c r="I55" s="286"/>
      <c r="J55" s="76">
        <f t="shared" si="24"/>
        <v>254.50264475564032</v>
      </c>
      <c r="K55" s="76">
        <f t="shared" si="24"/>
        <v>177.82071339818287</v>
      </c>
      <c r="L55" s="76">
        <f t="shared" si="24"/>
        <v>0</v>
      </c>
      <c r="M55" s="76">
        <f t="shared" si="24"/>
        <v>0</v>
      </c>
      <c r="N55" s="76">
        <f t="shared" si="24"/>
        <v>0</v>
      </c>
      <c r="O55" s="74"/>
      <c r="P55" s="75"/>
      <c r="Q55" s="171">
        <f t="shared" si="24"/>
        <v>242.44098135824564</v>
      </c>
      <c r="R55" s="171">
        <f t="shared" si="24"/>
        <v>171.73013066952512</v>
      </c>
      <c r="S55" s="171">
        <f t="shared" si="24"/>
        <v>0</v>
      </c>
      <c r="T55" s="171">
        <f t="shared" si="24"/>
        <v>0</v>
      </c>
      <c r="U55" s="171">
        <f t="shared" si="24"/>
        <v>0</v>
      </c>
      <c r="W55" s="4"/>
      <c r="X55" s="171">
        <f t="shared" si="23"/>
        <v>266.1970996501492</v>
      </c>
      <c r="Y55" s="171">
        <f t="shared" si="23"/>
        <v>183.81351484287526</v>
      </c>
      <c r="Z55" s="171">
        <f t="shared" si="23"/>
        <v>0</v>
      </c>
      <c r="AA55" s="171">
        <f t="shared" si="23"/>
        <v>0</v>
      </c>
      <c r="AB55" s="171">
        <f t="shared" si="23"/>
        <v>0</v>
      </c>
      <c r="AD55" s="4"/>
    </row>
    <row r="56" spans="1:35" outlineLevel="1" x14ac:dyDescent="0.2">
      <c r="A56" s="287">
        <f>IF($J$9="R",0.85,
   IF($J$9="A",0.85,
    IF($J$9="D",0.85,
     IF($J$9="W",1.32,
      IF($J$9="N",1.8,"Fehler")))))</f>
        <v>0.85</v>
      </c>
      <c r="B56" s="288"/>
      <c r="C56" s="288"/>
      <c r="D56" s="288"/>
      <c r="E56" s="288"/>
      <c r="F56" s="288"/>
      <c r="G56" s="288"/>
      <c r="H56" s="288"/>
      <c r="I56" s="288"/>
      <c r="J56" s="203"/>
      <c r="K56" s="203"/>
      <c r="L56" s="203"/>
      <c r="M56" s="203"/>
      <c r="N56" s="204"/>
      <c r="P56" s="4"/>
      <c r="Q56" s="172"/>
      <c r="R56" s="172"/>
      <c r="S56" s="172"/>
      <c r="T56" s="172"/>
      <c r="U56" s="172"/>
      <c r="W56" s="4"/>
      <c r="X56" s="172"/>
      <c r="Y56" s="172"/>
      <c r="Z56" s="172"/>
      <c r="AA56" s="172"/>
      <c r="AB56" s="172"/>
      <c r="AD56" s="4"/>
    </row>
    <row r="57" spans="1:35" ht="15.75" outlineLevel="1" x14ac:dyDescent="0.3">
      <c r="A57" s="12">
        <f>IF($J$8&lt;SQRT(($A$56+0.15/1.5*9.81)*A20)*3.6,$J$8,SQRT(($A$56+0.15/1.5*9.81)*A20)*3.6)</f>
        <v>80.043957923131217</v>
      </c>
      <c r="B57" s="11" t="s">
        <v>58</v>
      </c>
      <c r="C57" s="11" t="s">
        <v>26</v>
      </c>
      <c r="D57" s="269" t="s">
        <v>97</v>
      </c>
      <c r="E57" s="270"/>
      <c r="F57" s="270"/>
      <c r="G57" s="270"/>
      <c r="H57" s="270"/>
      <c r="I57" s="271"/>
      <c r="J57" s="73">
        <f t="shared" ref="J57:U60" si="25">J$47*$A57+J$48</f>
        <v>146.84051071955622</v>
      </c>
      <c r="K57" s="73">
        <f t="shared" si="25"/>
        <v>101.15637902474381</v>
      </c>
      <c r="L57" s="73">
        <f t="shared" si="25"/>
        <v>0</v>
      </c>
      <c r="M57" s="73">
        <f t="shared" si="25"/>
        <v>0</v>
      </c>
      <c r="N57" s="73">
        <f t="shared" si="25"/>
        <v>0</v>
      </c>
      <c r="O57" s="74"/>
      <c r="P57" s="75"/>
      <c r="Q57" s="169">
        <f t="shared" ref="Q57:U59" si="26">Q$47*$A57+Q$48</f>
        <v>140.88860643776542</v>
      </c>
      <c r="R57" s="169">
        <f t="shared" si="26"/>
        <v>97.969082023463244</v>
      </c>
      <c r="S57" s="169">
        <f t="shared" si="26"/>
        <v>0</v>
      </c>
      <c r="T57" s="169">
        <f t="shared" si="26"/>
        <v>0</v>
      </c>
      <c r="U57" s="169">
        <f t="shared" si="26"/>
        <v>0</v>
      </c>
      <c r="W57" s="4"/>
      <c r="X57" s="169">
        <f t="shared" ref="X57:AB60" si="27">X$47*$A57+X$48</f>
        <v>152.64545089157701</v>
      </c>
      <c r="Y57" s="169">
        <f t="shared" si="27"/>
        <v>104.30454202112743</v>
      </c>
      <c r="Z57" s="169">
        <f t="shared" si="27"/>
        <v>0</v>
      </c>
      <c r="AA57" s="169">
        <f t="shared" si="27"/>
        <v>0</v>
      </c>
      <c r="AB57" s="169">
        <f t="shared" si="27"/>
        <v>0</v>
      </c>
      <c r="AD57" s="4"/>
    </row>
    <row r="58" spans="1:35" ht="15.75" outlineLevel="1" x14ac:dyDescent="0.3">
      <c r="A58" s="12">
        <f>IF($J$8&lt;SQRT(($A$56+0.15/1.5*9.81)*A21)*3.6,$J$8,SQRT(($A$56+0.15/1.5*9.81)*A21)*3.6)</f>
        <v>90.218111707128969</v>
      </c>
      <c r="B58" s="11" t="s">
        <v>57</v>
      </c>
      <c r="C58" s="11" t="s">
        <v>26</v>
      </c>
      <c r="D58" s="269" t="s">
        <v>96</v>
      </c>
      <c r="E58" s="270"/>
      <c r="F58" s="270"/>
      <c r="G58" s="270"/>
      <c r="H58" s="270"/>
      <c r="I58" s="271"/>
      <c r="J58" s="73">
        <f t="shared" si="25"/>
        <v>155.97194828144723</v>
      </c>
      <c r="K58" s="73">
        <f t="shared" si="25"/>
        <v>107.6587169992109</v>
      </c>
      <c r="L58" s="73">
        <f t="shared" si="25"/>
        <v>0</v>
      </c>
      <c r="M58" s="73">
        <f t="shared" si="25"/>
        <v>0</v>
      </c>
      <c r="N58" s="73">
        <f t="shared" si="25"/>
        <v>0</v>
      </c>
      <c r="O58" s="74"/>
      <c r="P58" s="75"/>
      <c r="Q58" s="169">
        <f t="shared" si="26"/>
        <v>149.50184059990187</v>
      </c>
      <c r="R58" s="169">
        <f t="shared" si="26"/>
        <v>104.22517583250269</v>
      </c>
      <c r="S58" s="169">
        <f t="shared" si="26"/>
        <v>0</v>
      </c>
      <c r="T58" s="169">
        <f t="shared" si="26"/>
        <v>0</v>
      </c>
      <c r="U58" s="169">
        <f t="shared" si="26"/>
        <v>0</v>
      </c>
      <c r="W58" s="4"/>
      <c r="X58" s="169">
        <f t="shared" si="27"/>
        <v>162.27641167432682</v>
      </c>
      <c r="Y58" s="169">
        <f t="shared" si="27"/>
        <v>111.04814995192083</v>
      </c>
      <c r="Z58" s="169">
        <f t="shared" si="27"/>
        <v>0</v>
      </c>
      <c r="AA58" s="169">
        <f t="shared" si="27"/>
        <v>0</v>
      </c>
      <c r="AB58" s="169">
        <f t="shared" si="27"/>
        <v>0</v>
      </c>
      <c r="AD58" s="4"/>
    </row>
    <row r="59" spans="1:35" ht="15.75" outlineLevel="1" x14ac:dyDescent="0.3">
      <c r="A59" s="12">
        <f>IF($J$8&lt;SQRT(($A$56+0.15/1.5*9.81)*A22)*3.6,$J$8,SQRT(($A$56+0.15/1.5*9.81)*A22)*3.6)</f>
        <v>106.72527723084163</v>
      </c>
      <c r="B59" s="11" t="s">
        <v>56</v>
      </c>
      <c r="C59" s="11" t="s">
        <v>26</v>
      </c>
      <c r="D59" s="269" t="s">
        <v>95</v>
      </c>
      <c r="E59" s="270"/>
      <c r="F59" s="270"/>
      <c r="G59" s="270"/>
      <c r="H59" s="270"/>
      <c r="I59" s="271"/>
      <c r="J59" s="73">
        <f t="shared" si="25"/>
        <v>170.78734762607496</v>
      </c>
      <c r="K59" s="73">
        <f t="shared" si="25"/>
        <v>118.2085053663251</v>
      </c>
      <c r="L59" s="73">
        <f t="shared" si="25"/>
        <v>0</v>
      </c>
      <c r="M59" s="73">
        <f t="shared" si="25"/>
        <v>0</v>
      </c>
      <c r="N59" s="73">
        <f t="shared" si="25"/>
        <v>0</v>
      </c>
      <c r="O59" s="74"/>
      <c r="P59" s="75"/>
      <c r="Q59" s="169">
        <f t="shared" si="26"/>
        <v>163.47647525035387</v>
      </c>
      <c r="R59" s="169">
        <f t="shared" si="26"/>
        <v>114.37544269795099</v>
      </c>
      <c r="S59" s="169">
        <f t="shared" si="26"/>
        <v>0</v>
      </c>
      <c r="T59" s="169">
        <f t="shared" si="26"/>
        <v>0</v>
      </c>
      <c r="U59" s="169">
        <f t="shared" si="26"/>
        <v>0</v>
      </c>
      <c r="W59" s="4"/>
      <c r="X59" s="169">
        <f t="shared" si="27"/>
        <v>177.90226785543601</v>
      </c>
      <c r="Y59" s="169">
        <f t="shared" si="27"/>
        <v>121.98938936150324</v>
      </c>
      <c r="Z59" s="169">
        <f t="shared" si="27"/>
        <v>0</v>
      </c>
      <c r="AA59" s="169">
        <f t="shared" si="27"/>
        <v>0</v>
      </c>
      <c r="AB59" s="169">
        <f t="shared" si="27"/>
        <v>0</v>
      </c>
      <c r="AD59" s="4"/>
    </row>
    <row r="60" spans="1:35" ht="16.5" outlineLevel="1" thickBot="1" x14ac:dyDescent="0.35">
      <c r="A60" s="12">
        <f>IF($J$8&lt;SQRT(($A$56+0.15/1.5*9.81)*A23)*3.6,$J$8,SQRT(($A$56+0.15/1.5*9.81)*A23)*3.6)</f>
        <v>137.78174044480642</v>
      </c>
      <c r="B60" s="11" t="s">
        <v>55</v>
      </c>
      <c r="C60" s="11" t="s">
        <v>26</v>
      </c>
      <c r="D60" s="269" t="s">
        <v>88</v>
      </c>
      <c r="E60" s="270"/>
      <c r="F60" s="270"/>
      <c r="G60" s="270"/>
      <c r="H60" s="270"/>
      <c r="I60" s="271"/>
      <c r="J60" s="73">
        <f>J$47*$A60+J$48</f>
        <v>198.66093404438965</v>
      </c>
      <c r="K60" s="73">
        <f t="shared" si="25"/>
        <v>138.05680178449211</v>
      </c>
      <c r="L60" s="73">
        <f t="shared" si="25"/>
        <v>0</v>
      </c>
      <c r="M60" s="73">
        <f t="shared" si="25"/>
        <v>0</v>
      </c>
      <c r="N60" s="73">
        <f t="shared" si="25"/>
        <v>0</v>
      </c>
      <c r="O60" s="74"/>
      <c r="P60" s="75"/>
      <c r="Q60" s="171">
        <f t="shared" si="25"/>
        <v>189.76825298329743</v>
      </c>
      <c r="R60" s="171">
        <f t="shared" si="25"/>
        <v>133.47208221888445</v>
      </c>
      <c r="S60" s="171">
        <f t="shared" si="25"/>
        <v>0</v>
      </c>
      <c r="T60" s="171">
        <f t="shared" si="25"/>
        <v>0</v>
      </c>
      <c r="U60" s="171">
        <f t="shared" si="25"/>
        <v>0</v>
      </c>
      <c r="W60" s="4"/>
      <c r="X60" s="171">
        <f t="shared" si="27"/>
        <v>207.3006419723132</v>
      </c>
      <c r="Y60" s="171">
        <f t="shared" si="27"/>
        <v>142.57415897266139</v>
      </c>
      <c r="Z60" s="171">
        <f t="shared" si="27"/>
        <v>0</v>
      </c>
      <c r="AA60" s="171">
        <f t="shared" si="27"/>
        <v>0</v>
      </c>
      <c r="AB60" s="171">
        <f t="shared" si="27"/>
        <v>0</v>
      </c>
      <c r="AD60" s="4"/>
    </row>
    <row r="61" spans="1:35" ht="66" customHeight="1" outlineLevel="1" thickBot="1" x14ac:dyDescent="0.35">
      <c r="A61" s="15" t="str">
        <f>IF($O$1="de","reduzierte Kontaktfläche",
IF($O$1="fr","Surface de contact réduite",
IF($O$1="it","Superficie di contatto ridotta",
IF($O$1="en","Reduced contact area","select language in cell N1"))))</f>
        <v>reduzierte Kontaktfläche</v>
      </c>
      <c r="B61" s="15" t="s">
        <v>98</v>
      </c>
      <c r="C61" s="16" t="s">
        <v>11</v>
      </c>
      <c r="D61" s="272"/>
      <c r="E61" s="273"/>
      <c r="F61" s="273"/>
      <c r="G61" s="273"/>
      <c r="H61" s="273"/>
      <c r="I61" s="274"/>
      <c r="J61" s="77">
        <f>IF(OR(J18=0,J19=0),"",(8.3593707*(ACOS(ABS(J18-0.3)/(J18+0.3)))+4.1874191)/(ACOS(ABS(J18-0.3)/(J18+0.3)))^(0.8571601)*(J16/(1/0.3+1/J18))^(2/3))</f>
        <v>67.704366401390757</v>
      </c>
      <c r="K61" s="77" t="str">
        <f>IF(OR(K18=0,K19=0),"",(8.3593707*(ACOS(ABS(K18-0.3)/(K18+0.3)))+4.1874191)/(ACOS(ABS(K18-0.3)/(K18+0.3)))^(0.8571601)*(K16/(1/0.3+1/K18))^(2/3))</f>
        <v/>
      </c>
      <c r="L61" s="77" t="str">
        <f>IF(OR(L18=0,L19=0),"",(8.3593707*(ACOS(ABS(L18-0.3)/(L18+0.3)))+4.1874191)/(ACOS(ABS(L18-0.3)/(L18+0.3)))^(0.8571601)*(L16/(1/0.3+1/L18))^(2/3))</f>
        <v/>
      </c>
      <c r="M61" s="77" t="str">
        <f>IF(OR(M18=0,M19=0),"",(8.3593707*(ACOS(ABS(M18-0.3)/(M18+0.3)))+4.1874191)/(ACOS(ABS(M18-0.3)/(M18+0.3)))^(0.8571601)*(M16/(1/0.3+1/M18))^(2/3))</f>
        <v/>
      </c>
      <c r="N61" s="77" t="str">
        <f>IF(OR(N18=0,N19=0),"",(8.3593707*(ACOS(ABS(N18-0.3)/(N18+0.3)))+4.1874191)/(ACOS(ABS(N18-0.3)/(N18+0.3)))^(0.8571601)*(N16/(1/0.3+1/N18))^(2/3))</f>
        <v/>
      </c>
      <c r="P61" s="75"/>
      <c r="Q61" s="173">
        <f>IF(OR(Q18=0,Q19=0),"",(8.3593707*(ACOS(ABS(Q18-0.3)/(Q18+0.3)))+4.1874191)/(ACOS(ABS(Q18-0.3)/(Q18+0.3)))^(0.8571601)*(Q16/(1/0.3+1/Q18))^(2/3))</f>
        <v>66.571205586786817</v>
      </c>
      <c r="R61" s="173" t="str">
        <f>IF(OR(R18=0,R19=0),"",(8.3593707*(ACOS(ABS(R18-0.3)/(R18+0.3)))+4.1874191)/(ACOS(ABS(R18-0.3)/(R18+0.3)))^(0.8571601)*(R16/(1/0.3+1/R18))^(2/3))</f>
        <v/>
      </c>
      <c r="S61" s="173" t="str">
        <f>IF(OR(S18=0,S19=0),"",(8.3593707*(ACOS(ABS(S18-0.3)/(S18+0.3)))+4.1874191)/(ACOS(ABS(S18-0.3)/(S18+0.3)))^(0.8571601)*(S16/(1/0.3+1/S18))^(2/3))</f>
        <v/>
      </c>
      <c r="T61" s="173" t="str">
        <f>IF(OR(T18=0,T19=0),"",(8.3593707*(ACOS(ABS(T18-0.3)/(T18+0.3)))+4.1874191)/(ACOS(ABS(T18-0.3)/(T18+0.3)))^(0.8571601)*(T16/(1/0.3+1/T18))^(2/3))</f>
        <v/>
      </c>
      <c r="U61" s="173" t="str">
        <f>IF(OR(U18=0,U19=0),"",(8.3593707*(ACOS(ABS(U18-0.3)/(U18+0.3)))+4.1874191)/(ACOS(ABS(U18-0.3)/(U18+0.3)))^(0.8571601)*(U16/(1/0.3+1/U18))^(2/3))</f>
        <v/>
      </c>
      <c r="W61" s="4"/>
      <c r="X61" s="173">
        <f>IF(OR(X18=0,X19=0),"",(8.3593707*(ACOS(ABS(X18-0.3)/(X18+0.3)))+4.1874191)/(ACOS(ABS(X18-0.3)/(X18+0.3)))^(0.8571601)*(X16/(1/0.3+1/X18))^(2/3))</f>
        <v>68.828122307617107</v>
      </c>
      <c r="Y61" s="173" t="str">
        <f>IF(OR(Y18=0,Y19=0),"",(8.3593707*(ACOS(ABS(Y18-0.3)/(Y18+0.3)))+4.1874191)/(ACOS(ABS(Y18-0.3)/(Y18+0.3)))^(0.8571601)*(Y16/(1/0.3+1/Y18))^(2/3))</f>
        <v/>
      </c>
      <c r="Z61" s="173" t="str">
        <f>IF(OR(Z18=0,Z19=0),"",(8.3593707*(ACOS(ABS(Z18-0.3)/(Z18+0.3)))+4.1874191)/(ACOS(ABS(Z18-0.3)/(Z18+0.3)))^(0.8571601)*(Z16/(1/0.3+1/Z18))^(2/3))</f>
        <v/>
      </c>
      <c r="AA61" s="173" t="str">
        <f>IF(OR(AA18=0,AA19=0),"",(8.3593707*(ACOS(ABS(AA18-0.3)/(AA18+0.3)))+4.1874191)/(ACOS(ABS(AA18-0.3)/(AA18+0.3)))^(0.8571601)*(AA16/(1/0.3+1/AA18))^(2/3))</f>
        <v/>
      </c>
      <c r="AB61" s="173" t="str">
        <f>IF(OR(AB18=0,AB19=0),"",(8.3593707*(ACOS(ABS(AB18-0.3)/(AB18+0.3)))+4.1874191)/(ACOS(ABS(AB18-0.3)/(AB18+0.3)))^(0.8571601)*(AB16/(1/0.3+1/AB18))^(2/3))</f>
        <v/>
      </c>
      <c r="AD61" s="4"/>
    </row>
    <row r="62" spans="1:35" ht="13.15" customHeight="1" x14ac:dyDescent="0.2">
      <c r="A62" s="8"/>
      <c r="B62" s="6"/>
      <c r="C62" s="6"/>
      <c r="D62" s="9"/>
      <c r="E62" s="9"/>
      <c r="F62" s="9"/>
      <c r="G62" s="9"/>
      <c r="H62" s="9"/>
      <c r="I62" s="9"/>
      <c r="J62" s="10"/>
      <c r="K62" s="10"/>
      <c r="L62" s="10"/>
      <c r="M62" s="10"/>
      <c r="N62" s="10"/>
      <c r="P62" s="4"/>
      <c r="Q62" s="10"/>
      <c r="R62" s="10"/>
      <c r="S62" s="10"/>
      <c r="T62" s="10"/>
      <c r="U62" s="10"/>
      <c r="W62" s="4"/>
      <c r="X62" s="10"/>
      <c r="Y62" s="10"/>
      <c r="Z62" s="10"/>
      <c r="AA62" s="10"/>
      <c r="AB62" s="10"/>
      <c r="AD62" s="4"/>
    </row>
    <row r="63" spans="1:35" ht="18" x14ac:dyDescent="0.25">
      <c r="A63" s="275" t="str">
        <f>IF($O$1="de","Berechnung der Schädigungskoeffizienten D1 bis D5",
IF($O$1="fr","Calcul des coefficients de dégât D1 à D5",
IF($O$1="it","Calcolo dei coefficienti di danneggiamento da D1 a D5",
IF($O$1="en","Calculation of damage coefficients D1 to D5","select language in cell N1"))))</f>
        <v>Berechnung der Schädigungskoeffizienten D1 bis D5</v>
      </c>
      <c r="B63" s="275"/>
      <c r="C63" s="275"/>
      <c r="D63" s="275"/>
      <c r="E63" s="275"/>
      <c r="F63" s="275"/>
      <c r="G63" s="275"/>
      <c r="H63" s="275"/>
      <c r="I63" s="275"/>
      <c r="J63" s="111" t="str">
        <f>IF($O$1="de","für nominelle Kosten",
IF($O$1="fr","pour les coûts nominaux",
IF($O$1="it","per costi nominali",
IF($O$1="en","for nominal costs","select language in cell N1"))))</f>
        <v>für nominelle Kosten</v>
      </c>
      <c r="K63" s="111"/>
      <c r="L63" s="111"/>
      <c r="M63" s="111"/>
      <c r="N63" s="111"/>
      <c r="O63" s="111"/>
      <c r="P63" s="4"/>
      <c r="Q63" s="110" t="str">
        <f>IF($O$1="de","für untere Kostengrenze",
IF($O$1="fr","pour la limite de coûts inférieure",
IF($O$1="it","per limite inferiore dei costi",
IF($O$1="en","for lower cost limit","select language in cell N1"))))</f>
        <v>für untere Kostengrenze</v>
      </c>
      <c r="R63" s="110"/>
      <c r="S63" s="110"/>
      <c r="T63" s="110"/>
      <c r="U63" s="110"/>
      <c r="V63" s="110"/>
      <c r="W63" s="4"/>
      <c r="X63" s="110" t="str">
        <f>IF($O$1="de","für obere Kostengrenze",
IF($O$1="fr","pour la limite de coûts supérieure",
IF($O$1="it","per limite superiore dei costi",
IF($O$1="en","for upper cost limit","select language in cell N1"))))</f>
        <v>für obere Kostengrenze</v>
      </c>
      <c r="Y63" s="110"/>
      <c r="Z63" s="110"/>
      <c r="AA63" s="110"/>
      <c r="AB63" s="110"/>
      <c r="AC63" s="110"/>
      <c r="AD63" s="4"/>
      <c r="AE63" s="276" t="str">
        <f>IF($O$1="de","Kostenkalibrier-Faktoren",
IF($O$1="fr","Facteurs de calibrage des coûts",
IF($O$1="it","Fattori di calibratura dei costi",
IF($O$1="en","Cost calibration factors","select language in cell N1"))))</f>
        <v>Kostenkalibrier-Faktoren</v>
      </c>
      <c r="AF63" s="277" t="str">
        <f>IF($O$1="de","Berechnung der Kostenelemente",
IF($O$1="fr","Calcul des éléments de coûts",
IF($O$1="it","Calcolo degli elementi di costo",
IF($O$1="en","Calculation of cost elements","select language in cell N1"))))</f>
        <v>Berechnung der Kostenelemente</v>
      </c>
      <c r="AG63" s="278"/>
      <c r="AH63" s="278"/>
      <c r="AI63" s="279"/>
    </row>
    <row r="64" spans="1:35" ht="15.75" outlineLevel="1" x14ac:dyDescent="0.25">
      <c r="A64" s="283"/>
      <c r="B64" s="283"/>
      <c r="C64" s="283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112"/>
      <c r="P64" s="4"/>
      <c r="Q64" s="112"/>
      <c r="R64" s="112"/>
      <c r="S64" s="112"/>
      <c r="T64" s="112"/>
      <c r="U64" s="112"/>
      <c r="V64" s="112"/>
      <c r="W64" s="4"/>
      <c r="X64" s="112"/>
      <c r="Y64" s="112"/>
      <c r="Z64" s="112"/>
      <c r="AA64" s="112"/>
      <c r="AB64" s="112"/>
      <c r="AC64" s="112"/>
      <c r="AD64" s="4"/>
      <c r="AE64" s="276"/>
      <c r="AF64" s="280"/>
      <c r="AG64" s="281"/>
      <c r="AH64" s="281"/>
      <c r="AI64" s="282"/>
    </row>
    <row r="65" spans="1:35" ht="16.5" outlineLevel="1" x14ac:dyDescent="0.3">
      <c r="A65" s="59" t="str">
        <f>IF($O$1="de","D1: Schotterschädigung und Gleislageverlust",
IF($O$1="fr","D1: Dégât de ballast et perte d'assiette de la voie",
IF($O$1="it","D1: Danneggiamento massicciata e perdita geometria del binario",
IF($O$1="en","D1: Ballast damage and track geometry loss","select language in cell N1"))))</f>
        <v>D1: Schotterschädigung und Gleislageverlust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1"/>
      <c r="O65" s="54" t="str">
        <f>IF($O$1="de","Summe",
IF($O$1="fr","Somme",
IF($O$1="it","Somma",
IF($O$1="en","Sum","select language in cell N1"))))</f>
        <v>Summe</v>
      </c>
      <c r="P65" s="4"/>
      <c r="Q65" s="80"/>
      <c r="R65" s="80"/>
      <c r="S65" s="80"/>
      <c r="T65" s="80"/>
      <c r="U65" s="80"/>
      <c r="V65" s="81" t="str">
        <f>O65</f>
        <v>Summe</v>
      </c>
      <c r="W65" s="4"/>
      <c r="X65" s="80"/>
      <c r="Y65" s="80"/>
      <c r="Z65" s="80"/>
      <c r="AA65" s="80"/>
      <c r="AB65" s="80"/>
      <c r="AC65" s="81" t="str">
        <f>V65</f>
        <v>Summe</v>
      </c>
      <c r="AD65" s="4"/>
      <c r="AE65" s="45"/>
      <c r="AF65" s="217" t="str">
        <f>J102</f>
        <v>nominell</v>
      </c>
      <c r="AG65" s="217" t="str">
        <f>L102</f>
        <v>untere Grenze</v>
      </c>
      <c r="AH65" s="217" t="str">
        <f>M102</f>
        <v>obere Grenze</v>
      </c>
      <c r="AI65" s="27"/>
    </row>
    <row r="66" spans="1:35" ht="15.75" outlineLevel="1" x14ac:dyDescent="0.3">
      <c r="A66" s="267" t="str">
        <f>IF($O$1="de","Schädigungspotential D1 aller Radsätze aufgrund dynamischer Radkraft in der Geraden",
IF($O$1="fr","Dégât potentiel D1 de tous les essieux dû aux forces de roues dynamiques dans les alignements",
IF($O$1="it","Potenziale di danneggiamento D1 di tutte le sale montate sulla base della forza dinamica alla ruota in rettilineo",
IF($O$1="en","Damage potential D1 of all wheelsets due to dynamic wheel force on straight sections","select language in cell N1"))))</f>
        <v>Schädigungspotential D1 aller Radsätze aufgrund dynamischer Radkraft in der Geraden</v>
      </c>
      <c r="B66" s="17" t="s">
        <v>25</v>
      </c>
      <c r="C66" s="17"/>
      <c r="D66" s="239" t="s">
        <v>102</v>
      </c>
      <c r="E66" s="240"/>
      <c r="F66" s="240"/>
      <c r="G66" s="240"/>
      <c r="H66" s="240"/>
      <c r="I66" s="241"/>
      <c r="J66" s="19">
        <f t="shared" ref="J66:N71" si="28">J$15*(J50)^3</f>
        <v>11529174.567248939</v>
      </c>
      <c r="K66" s="19">
        <f t="shared" ref="K66" si="29">K$15*(K50)^3</f>
        <v>3757024.9061890519</v>
      </c>
      <c r="L66" s="19">
        <f t="shared" si="28"/>
        <v>0</v>
      </c>
      <c r="M66" s="19">
        <f t="shared" si="28"/>
        <v>0</v>
      </c>
      <c r="N66" s="19">
        <f t="shared" si="28"/>
        <v>0</v>
      </c>
      <c r="O66" s="19">
        <f t="shared" ref="O66:O75" si="30">SUM(J66:N66)</f>
        <v>15286199.473437991</v>
      </c>
      <c r="P66" s="4"/>
      <c r="Q66" s="82">
        <f t="shared" ref="Q66:U71" si="31">Q$15*(Q50)^3</f>
        <v>10199725.001626385</v>
      </c>
      <c r="R66" s="82">
        <f>R$15*(R50)^3</f>
        <v>3415175.5468461094</v>
      </c>
      <c r="S66" s="82">
        <f>S$15*(S50)^3</f>
        <v>0</v>
      </c>
      <c r="T66" s="82">
        <f t="shared" si="31"/>
        <v>0</v>
      </c>
      <c r="U66" s="82">
        <f t="shared" si="31"/>
        <v>0</v>
      </c>
      <c r="V66" s="82">
        <f t="shared" ref="V66:V75" si="32">SUM(Q66:U66)</f>
        <v>13614900.548472494</v>
      </c>
      <c r="W66" s="4"/>
      <c r="X66" s="82">
        <f t="shared" ref="X66:AB71" si="33">X$15*(X50)^3</f>
        <v>12933234.361612234</v>
      </c>
      <c r="Y66" s="82">
        <f t="shared" ref="Y66" si="34">Y$15*(Y50)^3</f>
        <v>4116470.6803791658</v>
      </c>
      <c r="Z66" s="82">
        <f t="shared" si="33"/>
        <v>0</v>
      </c>
      <c r="AA66" s="82">
        <f t="shared" si="33"/>
        <v>0</v>
      </c>
      <c r="AB66" s="82">
        <f t="shared" si="33"/>
        <v>0</v>
      </c>
      <c r="AC66" s="82">
        <f>SUM(X66:AB66)</f>
        <v>17049705.041991401</v>
      </c>
      <c r="AD66" s="4"/>
      <c r="AE66" s="46">
        <v>8.8335332953868458E-10</v>
      </c>
      <c r="AF66" s="26">
        <f>$O$66*$AE66</f>
        <v>1.3503115200853937E-2</v>
      </c>
      <c r="AG66" s="26">
        <f>$V$66*$AE66</f>
        <v>1.202676773083124E-2</v>
      </c>
      <c r="AH66" s="26">
        <f>$AC$66*$AE66</f>
        <v>1.5060913716495603E-2</v>
      </c>
      <c r="AI66" s="17" t="s">
        <v>59</v>
      </c>
    </row>
    <row r="67" spans="1:35" ht="15.75" outlineLevel="1" x14ac:dyDescent="0.3">
      <c r="A67" s="267"/>
      <c r="B67" s="17" t="s">
        <v>24</v>
      </c>
      <c r="C67" s="17"/>
      <c r="D67" s="239" t="s">
        <v>103</v>
      </c>
      <c r="E67" s="240"/>
      <c r="F67" s="240"/>
      <c r="G67" s="240"/>
      <c r="H67" s="240"/>
      <c r="I67" s="241"/>
      <c r="J67" s="19">
        <f t="shared" si="28"/>
        <v>15120398.08420991</v>
      </c>
      <c r="K67" s="19">
        <f t="shared" ref="K67" si="35">K$15*(K51)^3</f>
        <v>4971867.3253105031</v>
      </c>
      <c r="L67" s="19">
        <f t="shared" si="28"/>
        <v>0</v>
      </c>
      <c r="M67" s="19">
        <f t="shared" si="28"/>
        <v>0</v>
      </c>
      <c r="N67" s="19">
        <f t="shared" si="28"/>
        <v>0</v>
      </c>
      <c r="O67" s="19">
        <f t="shared" si="30"/>
        <v>20092265.409520414</v>
      </c>
      <c r="P67" s="4"/>
      <c r="Q67" s="82">
        <f>Q$15*(Q51)^3</f>
        <v>13316479.670783656</v>
      </c>
      <c r="R67" s="82">
        <f>R$15*(R51)^3</f>
        <v>4511285.0550048882</v>
      </c>
      <c r="S67" s="82">
        <f>S$15*(S51)^3</f>
        <v>0</v>
      </c>
      <c r="T67" s="82">
        <f t="shared" si="31"/>
        <v>0</v>
      </c>
      <c r="U67" s="82">
        <f t="shared" si="31"/>
        <v>0</v>
      </c>
      <c r="V67" s="82">
        <f t="shared" si="32"/>
        <v>17827764.725788545</v>
      </c>
      <c r="W67" s="4"/>
      <c r="X67" s="82">
        <f t="shared" si="33"/>
        <v>17028149.101343021</v>
      </c>
      <c r="Y67" s="82">
        <f t="shared" ref="Y67" si="36">Y$15*(Y51)^3</f>
        <v>5456280.7377896477</v>
      </c>
      <c r="Z67" s="82">
        <f t="shared" si="33"/>
        <v>0</v>
      </c>
      <c r="AA67" s="82">
        <f t="shared" si="33"/>
        <v>0</v>
      </c>
      <c r="AB67" s="82">
        <f t="shared" si="33"/>
        <v>0</v>
      </c>
      <c r="AC67" s="82">
        <f>SUM(X67:AB67)</f>
        <v>22484429.839132667</v>
      </c>
      <c r="AD67" s="4"/>
      <c r="AE67" s="46">
        <v>8.8335332953868458E-10</v>
      </c>
      <c r="AF67" s="26">
        <f>$O$67*$AE67</f>
        <v>1.77485695474748E-2</v>
      </c>
      <c r="AG67" s="26">
        <f>$V$67*$AE67</f>
        <v>1.5748215328757625E-2</v>
      </c>
      <c r="AH67" s="26">
        <f>$AC$67*$AE67</f>
        <v>1.986169596117679E-2</v>
      </c>
      <c r="AI67" s="17" t="s">
        <v>60</v>
      </c>
    </row>
    <row r="68" spans="1:35" ht="15.75" outlineLevel="1" x14ac:dyDescent="0.3">
      <c r="A68" s="267"/>
      <c r="B68" s="17" t="s">
        <v>23</v>
      </c>
      <c r="C68" s="17"/>
      <c r="D68" s="239" t="s">
        <v>104</v>
      </c>
      <c r="E68" s="240"/>
      <c r="F68" s="240"/>
      <c r="G68" s="240"/>
      <c r="H68" s="240"/>
      <c r="I68" s="241"/>
      <c r="J68" s="19">
        <f t="shared" si="28"/>
        <v>20972869.836366702</v>
      </c>
      <c r="K68" s="19">
        <f t="shared" ref="K68" si="37">K$15*(K52)^3</f>
        <v>6964211.5166725786</v>
      </c>
      <c r="L68" s="19">
        <f t="shared" si="28"/>
        <v>0</v>
      </c>
      <c r="M68" s="19">
        <f t="shared" si="28"/>
        <v>0</v>
      </c>
      <c r="N68" s="19">
        <f t="shared" si="28"/>
        <v>0</v>
      </c>
      <c r="O68" s="19">
        <f t="shared" si="30"/>
        <v>27937081.35303928</v>
      </c>
      <c r="P68" s="4"/>
      <c r="Q68" s="82">
        <f>Q$15*(Q52)^3</f>
        <v>18379575.162334047</v>
      </c>
      <c r="R68" s="82">
        <f t="shared" ref="R68" si="38">R$15*(R52)^3</f>
        <v>6306619.1649650298</v>
      </c>
      <c r="S68" s="82">
        <f t="shared" si="31"/>
        <v>0</v>
      </c>
      <c r="T68" s="82">
        <f t="shared" si="31"/>
        <v>0</v>
      </c>
      <c r="U68" s="82">
        <f t="shared" si="31"/>
        <v>0</v>
      </c>
      <c r="V68" s="82">
        <f t="shared" si="32"/>
        <v>24686194.327299077</v>
      </c>
      <c r="W68" s="4"/>
      <c r="X68" s="82">
        <f t="shared" si="33"/>
        <v>23719811.13389942</v>
      </c>
      <c r="Y68" s="82">
        <f t="shared" ref="Y68" si="39">Y$15*(Y52)^3</f>
        <v>7656043.6652240204</v>
      </c>
      <c r="Z68" s="82">
        <f t="shared" si="33"/>
        <v>0</v>
      </c>
      <c r="AA68" s="82">
        <f t="shared" si="33"/>
        <v>0</v>
      </c>
      <c r="AB68" s="82">
        <f t="shared" si="33"/>
        <v>0</v>
      </c>
      <c r="AC68" s="82">
        <f>SUM(X68:AB68)</f>
        <v>31375854.79912344</v>
      </c>
      <c r="AD68" s="4"/>
      <c r="AE68" s="46">
        <v>8.8335332953868458E-10</v>
      </c>
      <c r="AF68" s="26">
        <f>$O$68*$AE68</f>
        <v>2.4678313830800346E-2</v>
      </c>
      <c r="AG68" s="26">
        <f>$V$68*$AE68</f>
        <v>2.1806631952658629E-2</v>
      </c>
      <c r="AH68" s="26">
        <f>$AC$68*$AE68</f>
        <v>2.7715965803928006E-2</v>
      </c>
      <c r="AI68" s="17" t="s">
        <v>61</v>
      </c>
    </row>
    <row r="69" spans="1:35" ht="15.75" outlineLevel="1" x14ac:dyDescent="0.3">
      <c r="A69" s="267"/>
      <c r="B69" s="17" t="s">
        <v>22</v>
      </c>
      <c r="C69" s="17"/>
      <c r="D69" s="239" t="s">
        <v>105</v>
      </c>
      <c r="E69" s="240"/>
      <c r="F69" s="240"/>
      <c r="G69" s="240"/>
      <c r="H69" s="240"/>
      <c r="I69" s="241"/>
      <c r="J69" s="19">
        <f t="shared" si="28"/>
        <v>28168783.528073974</v>
      </c>
      <c r="K69" s="19">
        <f t="shared" ref="K69" si="40">K$15*(K53)^3</f>
        <v>9428275.7949095946</v>
      </c>
      <c r="L69" s="19">
        <f t="shared" si="28"/>
        <v>0</v>
      </c>
      <c r="M69" s="19">
        <f t="shared" si="28"/>
        <v>0</v>
      </c>
      <c r="N69" s="19">
        <f t="shared" si="28"/>
        <v>0</v>
      </c>
      <c r="O69" s="19">
        <f t="shared" si="30"/>
        <v>37597059.32298357</v>
      </c>
      <c r="P69" s="4"/>
      <c r="Q69" s="82">
        <f>Q$15*(Q53)^3</f>
        <v>24586511.59856325</v>
      </c>
      <c r="R69" s="82">
        <f t="shared" ref="R69" si="41">R$15*(R53)^3</f>
        <v>8524420.8160377555</v>
      </c>
      <c r="S69" s="82">
        <f t="shared" si="31"/>
        <v>0</v>
      </c>
      <c r="T69" s="82">
        <f t="shared" si="31"/>
        <v>0</v>
      </c>
      <c r="U69" s="82">
        <f t="shared" si="31"/>
        <v>0</v>
      </c>
      <c r="V69" s="82">
        <f t="shared" si="32"/>
        <v>33110932.414601006</v>
      </c>
      <c r="W69" s="4"/>
      <c r="X69" s="82">
        <f t="shared" si="33"/>
        <v>31968505.428874925</v>
      </c>
      <c r="Y69" s="82">
        <f t="shared" ref="Y69" si="42">Y$15*(Y53)^3</f>
        <v>10379456.140767764</v>
      </c>
      <c r="Z69" s="82">
        <f t="shared" si="33"/>
        <v>0</v>
      </c>
      <c r="AA69" s="82">
        <f t="shared" si="33"/>
        <v>0</v>
      </c>
      <c r="AB69" s="82">
        <f t="shared" si="33"/>
        <v>0</v>
      </c>
      <c r="AC69" s="82">
        <f t="shared" ref="AC69:AC75" si="43">SUM(X69:AB69)</f>
        <v>42347961.569642693</v>
      </c>
      <c r="AD69" s="4"/>
      <c r="AE69" s="46">
        <v>8.8335332953868458E-10</v>
      </c>
      <c r="AF69" s="26">
        <f>$O$69*$AE69</f>
        <v>3.3211487533820978E-2</v>
      </c>
      <c r="AG69" s="26">
        <f>$V$69*$AE69</f>
        <v>2.9248652392568155E-2</v>
      </c>
      <c r="AH69" s="26">
        <f>$AC$69*$AE69</f>
        <v>3.7408212851720135E-2</v>
      </c>
      <c r="AI69" s="17" t="s">
        <v>62</v>
      </c>
    </row>
    <row r="70" spans="1:35" ht="15.75" outlineLevel="1" x14ac:dyDescent="0.3">
      <c r="A70" s="267"/>
      <c r="B70" s="17" t="s">
        <v>21</v>
      </c>
      <c r="C70" s="17"/>
      <c r="D70" s="239" t="s">
        <v>106</v>
      </c>
      <c r="E70" s="240"/>
      <c r="F70" s="240"/>
      <c r="G70" s="240"/>
      <c r="H70" s="240"/>
      <c r="I70" s="241"/>
      <c r="J70" s="19">
        <f t="shared" si="28"/>
        <v>36846950.131879658</v>
      </c>
      <c r="K70" s="19">
        <f t="shared" ref="K70" si="44">K$15*(K54)^3</f>
        <v>12414180.609038191</v>
      </c>
      <c r="L70" s="19">
        <f t="shared" si="28"/>
        <v>0</v>
      </c>
      <c r="M70" s="19">
        <f t="shared" si="28"/>
        <v>0</v>
      </c>
      <c r="N70" s="19">
        <f t="shared" si="28"/>
        <v>0</v>
      </c>
      <c r="O70" s="19">
        <f t="shared" si="30"/>
        <v>49261130.740917847</v>
      </c>
      <c r="P70" s="4"/>
      <c r="Q70" s="82">
        <f>Q$15*(Q54)^3</f>
        <v>32053783.392670155</v>
      </c>
      <c r="R70" s="82">
        <f t="shared" ref="R70" si="45">R$15*(R54)^3</f>
        <v>11209329.176295886</v>
      </c>
      <c r="S70" s="82">
        <f t="shared" si="31"/>
        <v>0</v>
      </c>
      <c r="T70" s="82">
        <f t="shared" si="31"/>
        <v>0</v>
      </c>
      <c r="U70" s="82">
        <f t="shared" si="31"/>
        <v>0</v>
      </c>
      <c r="V70" s="82">
        <f t="shared" si="32"/>
        <v>43263112.568966039</v>
      </c>
      <c r="W70" s="4"/>
      <c r="X70" s="82">
        <f t="shared" si="33"/>
        <v>41937092.266832247</v>
      </c>
      <c r="Y70" s="82">
        <f t="shared" ref="Y70" si="46">Y$15*(Y54)^3</f>
        <v>13682427.363849809</v>
      </c>
      <c r="Z70" s="82">
        <f t="shared" si="33"/>
        <v>0</v>
      </c>
      <c r="AA70" s="82">
        <f t="shared" si="33"/>
        <v>0</v>
      </c>
      <c r="AB70" s="82">
        <f t="shared" si="33"/>
        <v>0</v>
      </c>
      <c r="AC70" s="82">
        <f t="shared" si="43"/>
        <v>55619519.630682059</v>
      </c>
      <c r="AD70" s="4"/>
      <c r="AE70" s="46">
        <v>8.8335332953868458E-10</v>
      </c>
      <c r="AF70" s="26">
        <f>$O$70*$AE70</f>
        <v>4.3514983856830225E-2</v>
      </c>
      <c r="AG70" s="26">
        <f>$V$70*$AE70</f>
        <v>3.8216614534003067E-2</v>
      </c>
      <c r="AH70" s="26">
        <f>$AC$70*$AE70</f>
        <v>4.9131687853105226E-2</v>
      </c>
      <c r="AI70" s="17" t="s">
        <v>63</v>
      </c>
    </row>
    <row r="71" spans="1:35" ht="16.5" outlineLevel="1" thickBot="1" x14ac:dyDescent="0.35">
      <c r="A71" s="268"/>
      <c r="B71" s="36" t="s">
        <v>89</v>
      </c>
      <c r="C71" s="36"/>
      <c r="D71" s="233" t="s">
        <v>107</v>
      </c>
      <c r="E71" s="234"/>
      <c r="F71" s="234"/>
      <c r="G71" s="234"/>
      <c r="H71" s="234"/>
      <c r="I71" s="235"/>
      <c r="J71" s="43">
        <f t="shared" si="28"/>
        <v>65938170.13917014</v>
      </c>
      <c r="K71" s="43">
        <f t="shared" ref="K71" si="47">K$15*(K55)^3</f>
        <v>22490910.435557008</v>
      </c>
      <c r="L71" s="43">
        <f t="shared" si="28"/>
        <v>0</v>
      </c>
      <c r="M71" s="43">
        <f t="shared" si="28"/>
        <v>0</v>
      </c>
      <c r="N71" s="43">
        <f t="shared" si="28"/>
        <v>0</v>
      </c>
      <c r="O71" s="43">
        <f t="shared" si="30"/>
        <v>88429080.574727148</v>
      </c>
      <c r="P71" s="4"/>
      <c r="Q71" s="89">
        <f t="shared" si="31"/>
        <v>57000424.655269913</v>
      </c>
      <c r="R71" s="89">
        <f t="shared" ref="R71" si="48">R$15*(R55)^3</f>
        <v>20258136.470105246</v>
      </c>
      <c r="S71" s="89">
        <f t="shared" si="31"/>
        <v>0</v>
      </c>
      <c r="T71" s="89">
        <f t="shared" si="31"/>
        <v>0</v>
      </c>
      <c r="U71" s="89">
        <f t="shared" si="31"/>
        <v>0</v>
      </c>
      <c r="V71" s="89">
        <f t="shared" si="32"/>
        <v>77258561.125375152</v>
      </c>
      <c r="W71" s="4"/>
      <c r="X71" s="89">
        <f t="shared" si="33"/>
        <v>75451859.828463912</v>
      </c>
      <c r="Y71" s="89">
        <f t="shared" ref="Y71" si="49">Y$15*(Y55)^3</f>
        <v>24842329.063287389</v>
      </c>
      <c r="Z71" s="89">
        <f t="shared" si="33"/>
        <v>0</v>
      </c>
      <c r="AA71" s="89">
        <f t="shared" si="33"/>
        <v>0</v>
      </c>
      <c r="AB71" s="89">
        <f t="shared" si="33"/>
        <v>0</v>
      </c>
      <c r="AC71" s="89">
        <f t="shared" si="43"/>
        <v>100294188.8917513</v>
      </c>
      <c r="AD71" s="4"/>
      <c r="AE71" s="47">
        <v>8.8335332953868458E-10</v>
      </c>
      <c r="AF71" s="44">
        <f>$O$71*$AE71</f>
        <v>7.8114122753729837E-2</v>
      </c>
      <c r="AG71" s="44">
        <f>$V$71*$AE71</f>
        <v>6.8246607205468116E-2</v>
      </c>
      <c r="AH71" s="44">
        <f>$AC$71*$AE71</f>
        <v>8.859520569091027E-2</v>
      </c>
      <c r="AI71" s="36" t="s">
        <v>91</v>
      </c>
    </row>
    <row r="72" spans="1:35" ht="15.75" outlineLevel="1" x14ac:dyDescent="0.3">
      <c r="A72" s="266" t="str">
        <f>IF($O$1="de","Schädigungspotential D1 aller Radsätze aufgrund dynamischer Radkraft im Bogen",
IF($O$1="fr","Dégât potentiel D1 de tous les essieux dû aux forces de roues dynamiques dans les courbes",
IF($O$1="it","Potenziale di danneggiamento D1 di tutte le sale montate sulla base della forza dinamica alla ruota in curva",
IF($O$1="en","Damage potential D1 of all wheelsets due to dynamic wheel force on curves","select language in cell N1"))))</f>
        <v>Schädigungspotential D1 aller Radsätze aufgrund dynamischer Radkraft im Bogen</v>
      </c>
      <c r="B72" s="17" t="s">
        <v>17</v>
      </c>
      <c r="C72" s="17"/>
      <c r="D72" s="239" t="s">
        <v>111</v>
      </c>
      <c r="E72" s="240"/>
      <c r="F72" s="240"/>
      <c r="G72" s="240"/>
      <c r="H72" s="240"/>
      <c r="I72" s="241"/>
      <c r="J72" s="19">
        <f t="shared" ref="J72:N75" si="50">J$15*(J57)^3</f>
        <v>12664780.008008214</v>
      </c>
      <c r="K72" s="19">
        <f t="shared" ref="K72" si="51">K$15*(K57)^3</f>
        <v>4140376.3232056089</v>
      </c>
      <c r="L72" s="19">
        <f t="shared" si="50"/>
        <v>0</v>
      </c>
      <c r="M72" s="19">
        <f t="shared" si="50"/>
        <v>0</v>
      </c>
      <c r="N72" s="19">
        <f t="shared" si="50"/>
        <v>0</v>
      </c>
      <c r="O72" s="19">
        <f>SUM(J72:N72)</f>
        <v>16805156.331213824</v>
      </c>
      <c r="P72" s="4"/>
      <c r="Q72" s="82">
        <f t="shared" ref="Q72:U75" si="52">Q$15*(Q57)^3</f>
        <v>11186329.604767149</v>
      </c>
      <c r="R72" s="82">
        <f t="shared" ref="R72" si="53">R$15*(R57)^3</f>
        <v>3761205.8890852886</v>
      </c>
      <c r="S72" s="82">
        <f t="shared" si="52"/>
        <v>0</v>
      </c>
      <c r="T72" s="82">
        <f t="shared" si="52"/>
        <v>0</v>
      </c>
      <c r="U72" s="82">
        <f t="shared" si="52"/>
        <v>0</v>
      </c>
      <c r="V72" s="82">
        <f t="shared" si="32"/>
        <v>14947535.493852438</v>
      </c>
      <c r="W72" s="4"/>
      <c r="X72" s="82">
        <f t="shared" ref="X72:AB75" si="54">X$15*(X57)^3</f>
        <v>14226942.935285673</v>
      </c>
      <c r="Y72" s="82">
        <f t="shared" ref="Y72" si="55">Y$15*(Y57)^3</f>
        <v>4539098.9777978025</v>
      </c>
      <c r="Z72" s="82">
        <f t="shared" si="54"/>
        <v>0</v>
      </c>
      <c r="AA72" s="82">
        <f t="shared" si="54"/>
        <v>0</v>
      </c>
      <c r="AB72" s="82">
        <f t="shared" si="54"/>
        <v>0</v>
      </c>
      <c r="AC72" s="82">
        <f t="shared" si="43"/>
        <v>18766041.913083475</v>
      </c>
      <c r="AD72" s="4"/>
      <c r="AE72" s="46">
        <v>1.0785342231351212E-8</v>
      </c>
      <c r="AF72" s="26">
        <f>$O$72*$AE72</f>
        <v>0.18124936228349967</v>
      </c>
      <c r="AG72" s="26">
        <f>$V$72*$AE72</f>
        <v>0.16121428581646791</v>
      </c>
      <c r="AH72" s="26">
        <f>$AC$72*$AE72</f>
        <v>0.20239818436048609</v>
      </c>
      <c r="AI72" s="17" t="s">
        <v>67</v>
      </c>
    </row>
    <row r="73" spans="1:35" ht="15.75" outlineLevel="1" x14ac:dyDescent="0.3">
      <c r="A73" s="246"/>
      <c r="B73" s="17" t="s">
        <v>18</v>
      </c>
      <c r="C73" s="17"/>
      <c r="D73" s="239" t="s">
        <v>110</v>
      </c>
      <c r="E73" s="240"/>
      <c r="F73" s="240"/>
      <c r="G73" s="240"/>
      <c r="H73" s="240"/>
      <c r="I73" s="241"/>
      <c r="J73" s="19">
        <f t="shared" si="50"/>
        <v>15177473.473514067</v>
      </c>
      <c r="K73" s="19">
        <f t="shared" ref="K73" si="56">K$15*(K58)^3</f>
        <v>4991230.0923593165</v>
      </c>
      <c r="L73" s="19">
        <f t="shared" si="50"/>
        <v>0</v>
      </c>
      <c r="M73" s="19">
        <f t="shared" si="50"/>
        <v>0</v>
      </c>
      <c r="N73" s="19">
        <f t="shared" si="50"/>
        <v>0</v>
      </c>
      <c r="O73" s="19">
        <f>SUM(J73:N73)</f>
        <v>20168703.565873384</v>
      </c>
      <c r="P73" s="4"/>
      <c r="Q73" s="82">
        <f t="shared" si="52"/>
        <v>13365943.160493232</v>
      </c>
      <c r="R73" s="82">
        <f t="shared" ref="R73" si="57">R$15*(R58)^3</f>
        <v>4528745.3461077083</v>
      </c>
      <c r="S73" s="82">
        <f t="shared" si="52"/>
        <v>0</v>
      </c>
      <c r="T73" s="82">
        <f t="shared" si="52"/>
        <v>0</v>
      </c>
      <c r="U73" s="82">
        <f t="shared" si="52"/>
        <v>0</v>
      </c>
      <c r="V73" s="82">
        <f t="shared" si="32"/>
        <v>17894688.506600939</v>
      </c>
      <c r="W73" s="4"/>
      <c r="X73" s="82">
        <f t="shared" si="54"/>
        <v>17093310.388483822</v>
      </c>
      <c r="Y73" s="82">
        <f t="shared" ref="Y73" si="58">Y$15*(Y58)^3</f>
        <v>5477646.155270529</v>
      </c>
      <c r="Z73" s="82">
        <f t="shared" si="54"/>
        <v>0</v>
      </c>
      <c r="AA73" s="82">
        <f t="shared" si="54"/>
        <v>0</v>
      </c>
      <c r="AB73" s="82">
        <f t="shared" si="54"/>
        <v>0</v>
      </c>
      <c r="AC73" s="82">
        <f t="shared" si="43"/>
        <v>22570956.54375435</v>
      </c>
      <c r="AD73" s="4"/>
      <c r="AE73" s="46">
        <v>2.6667180758863404E-9</v>
      </c>
      <c r="AF73" s="26">
        <f>$O$73*$AE73</f>
        <v>5.3784246366307846E-2</v>
      </c>
      <c r="AG73" s="26">
        <f>$V$73*$AE73</f>
        <v>4.7720089302908268E-2</v>
      </c>
      <c r="AH73" s="26">
        <f>$AC$73*$AE73</f>
        <v>6.0190377805274808E-2</v>
      </c>
      <c r="AI73" s="17" t="s">
        <v>66</v>
      </c>
    </row>
    <row r="74" spans="1:35" ht="15.75" outlineLevel="1" x14ac:dyDescent="0.3">
      <c r="A74" s="246"/>
      <c r="B74" s="17" t="s">
        <v>19</v>
      </c>
      <c r="C74" s="17"/>
      <c r="D74" s="239" t="s">
        <v>109</v>
      </c>
      <c r="E74" s="240"/>
      <c r="F74" s="240"/>
      <c r="G74" s="240"/>
      <c r="H74" s="240"/>
      <c r="I74" s="241"/>
      <c r="J74" s="19">
        <f t="shared" si="50"/>
        <v>19926318.738301199</v>
      </c>
      <c r="K74" s="19">
        <f t="shared" ref="K74" si="59">K$15*(K59)^3</f>
        <v>6607028.3407818899</v>
      </c>
      <c r="L74" s="19">
        <f t="shared" si="50"/>
        <v>0</v>
      </c>
      <c r="M74" s="19">
        <f t="shared" si="50"/>
        <v>0</v>
      </c>
      <c r="N74" s="19">
        <f t="shared" si="50"/>
        <v>0</v>
      </c>
      <c r="O74" s="19">
        <f>SUM(J74:N74)</f>
        <v>26533347.079083089</v>
      </c>
      <c r="P74" s="4"/>
      <c r="Q74" s="82">
        <f t="shared" si="52"/>
        <v>17475346.151881158</v>
      </c>
      <c r="R74" s="82">
        <f t="shared" ref="R74" si="60">R$15*(R59)^3</f>
        <v>5984920.0807924876</v>
      </c>
      <c r="S74" s="82">
        <f t="shared" si="52"/>
        <v>0</v>
      </c>
      <c r="T74" s="82">
        <f t="shared" si="52"/>
        <v>0</v>
      </c>
      <c r="U74" s="82">
        <f t="shared" si="52"/>
        <v>0</v>
      </c>
      <c r="V74" s="82">
        <f t="shared" si="32"/>
        <v>23460266.232673645</v>
      </c>
      <c r="W74" s="4"/>
      <c r="X74" s="82">
        <f t="shared" si="54"/>
        <v>22521869.855203599</v>
      </c>
      <c r="Y74" s="82">
        <f t="shared" ref="Y74" si="61">Y$15*(Y59)^3</f>
        <v>7261497.019899983</v>
      </c>
      <c r="Z74" s="82">
        <f t="shared" si="54"/>
        <v>0</v>
      </c>
      <c r="AA74" s="82">
        <f t="shared" si="54"/>
        <v>0</v>
      </c>
      <c r="AB74" s="82">
        <f t="shared" si="54"/>
        <v>0</v>
      </c>
      <c r="AC74" s="82">
        <f t="shared" si="43"/>
        <v>29783366.875103582</v>
      </c>
      <c r="AD74" s="4"/>
      <c r="AE74" s="46">
        <v>1.5558671765777067E-9</v>
      </c>
      <c r="AF74" s="26">
        <f>$O$74*$AE74</f>
        <v>4.1282363805089345E-2</v>
      </c>
      <c r="AG74" s="26">
        <f>$V$74*$AE74</f>
        <v>3.6501058185191254E-2</v>
      </c>
      <c r="AH74" s="26">
        <f>$AC$74*$AE74</f>
        <v>4.6338962928945404E-2</v>
      </c>
      <c r="AI74" s="17" t="s">
        <v>65</v>
      </c>
    </row>
    <row r="75" spans="1:35" ht="15.6" customHeight="1" outlineLevel="1" x14ac:dyDescent="0.3">
      <c r="A75" s="247"/>
      <c r="B75" s="17" t="s">
        <v>20</v>
      </c>
      <c r="C75" s="17" t="s">
        <v>43</v>
      </c>
      <c r="D75" s="239" t="s">
        <v>108</v>
      </c>
      <c r="E75" s="240"/>
      <c r="F75" s="240"/>
      <c r="G75" s="240"/>
      <c r="H75" s="240"/>
      <c r="I75" s="241"/>
      <c r="J75" s="19">
        <f t="shared" si="50"/>
        <v>31361542.171323389</v>
      </c>
      <c r="K75" s="19">
        <f t="shared" ref="K75" si="62">K$15*(K60)^3</f>
        <v>10525274.141928632</v>
      </c>
      <c r="L75" s="19">
        <f t="shared" si="50"/>
        <v>0</v>
      </c>
      <c r="M75" s="19">
        <f t="shared" si="50"/>
        <v>0</v>
      </c>
      <c r="N75" s="19">
        <f t="shared" si="50"/>
        <v>0</v>
      </c>
      <c r="O75" s="19">
        <f t="shared" si="30"/>
        <v>41886816.313252017</v>
      </c>
      <c r="P75" s="4"/>
      <c r="Q75" s="88">
        <f t="shared" si="52"/>
        <v>27335729.593808826</v>
      </c>
      <c r="R75" s="88">
        <f t="shared" ref="R75" si="63">R$15*(R60)^3</f>
        <v>9511112.0564219318</v>
      </c>
      <c r="S75" s="88">
        <f t="shared" si="52"/>
        <v>0</v>
      </c>
      <c r="T75" s="88">
        <f t="shared" si="52"/>
        <v>0</v>
      </c>
      <c r="U75" s="88">
        <f t="shared" si="52"/>
        <v>0</v>
      </c>
      <c r="V75" s="88">
        <f t="shared" si="32"/>
        <v>36846841.650230758</v>
      </c>
      <c r="W75" s="4"/>
      <c r="X75" s="88">
        <f t="shared" si="54"/>
        <v>35633783.120973855</v>
      </c>
      <c r="Y75" s="88">
        <f t="shared" ref="Y75" si="64">Y$15*(Y60)^3</f>
        <v>11592642.593530647</v>
      </c>
      <c r="Z75" s="88">
        <f t="shared" si="54"/>
        <v>0</v>
      </c>
      <c r="AA75" s="88">
        <f t="shared" si="54"/>
        <v>0</v>
      </c>
      <c r="AB75" s="88">
        <f t="shared" si="54"/>
        <v>0</v>
      </c>
      <c r="AC75" s="88">
        <f t="shared" si="43"/>
        <v>47226425.714504503</v>
      </c>
      <c r="AD75" s="4"/>
      <c r="AE75" s="46">
        <v>9.4947720839611591E-10</v>
      </c>
      <c r="AF75" s="26">
        <f>$O$75*$AE75</f>
        <v>3.9770577421707413E-2</v>
      </c>
      <c r="AG75" s="26">
        <f>$V$75*$AE75</f>
        <v>3.4985236348274835E-2</v>
      </c>
      <c r="AH75" s="26">
        <f>$AC$75*$AE75</f>
        <v>4.4840414849934278E-2</v>
      </c>
      <c r="AI75" s="17" t="s">
        <v>64</v>
      </c>
    </row>
    <row r="76" spans="1:35" ht="16.5" outlineLevel="1" x14ac:dyDescent="0.3">
      <c r="A76" s="20" t="str">
        <f>IF($O$1="de","D2: Schienenfehler in der Geraden",
IF($O$1="fr","D2: Défauts de rail dans les alignements",
IF($O$1="it","D2: Guasto di rotaia in rettilineo",
IF($O$1="en","D2: Rail defects on straight sections","select language in cell N1"))))</f>
        <v>D2: Schienenfehler in der Geraden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54" t="str">
        <f>IF($O$1="de","Summe",
IF($O$1="fr","Somme",
IF($O$1="it","Somma",
IF($O$1="en","Sum","select language in cell N1"))))</f>
        <v>Summe</v>
      </c>
      <c r="P76" s="4"/>
      <c r="Q76" s="80"/>
      <c r="R76" s="80"/>
      <c r="S76" s="80"/>
      <c r="T76" s="80"/>
      <c r="U76" s="80"/>
      <c r="V76" s="81" t="str">
        <f>O76</f>
        <v>Summe</v>
      </c>
      <c r="W76" s="4"/>
      <c r="X76" s="80"/>
      <c r="Y76" s="80"/>
      <c r="Z76" s="80"/>
      <c r="AA76" s="80"/>
      <c r="AB76" s="80"/>
      <c r="AC76" s="81" t="str">
        <f>V76</f>
        <v>Summe</v>
      </c>
      <c r="AD76" s="4"/>
      <c r="AE76" s="48"/>
      <c r="AF76" s="28"/>
      <c r="AG76" s="28"/>
      <c r="AH76" s="28"/>
      <c r="AI76" s="20"/>
    </row>
    <row r="77" spans="1:35" ht="15.75" outlineLevel="1" x14ac:dyDescent="0.3">
      <c r="A77" s="267" t="str">
        <f>IF($O$1="de","Schädigungspotential D2 aller Radsätze aufgrund dynamischer Radkraft in der Geraden",
IF($O$1="fr","Dégât potentiel D2 de tous les essieux dû aux forces de roues dynamiques dans les alignements",
IF($O$1="it","Potenziale di danneggiamento D2 di tutte le sale montate sulla base della forza dinamica alla ruota in rettilineo",
IF($O$1="en","Damage potential D2 of all wheelsets due to dynamic wheel force on straight sections","select language in cell N1"))))</f>
        <v>Schädigungspotential D2 aller Radsätze aufgrund dynamischer Radkraft in der Geraden</v>
      </c>
      <c r="B77" s="17" t="s">
        <v>16</v>
      </c>
      <c r="C77" s="17" t="s">
        <v>43</v>
      </c>
      <c r="D77" s="239" t="s">
        <v>112</v>
      </c>
      <c r="E77" s="240"/>
      <c r="F77" s="240"/>
      <c r="G77" s="240"/>
      <c r="H77" s="240"/>
      <c r="I77" s="241"/>
      <c r="J77" s="21">
        <f t="shared" ref="J77:N82" si="65">J$15*(J50)^1.2</f>
        <v>1534.4589718292668</v>
      </c>
      <c r="K77" s="21">
        <f t="shared" ref="K77" si="66">K$15*(K50)^1.2</f>
        <v>979.88164914761569</v>
      </c>
      <c r="L77" s="21">
        <f t="shared" si="65"/>
        <v>0</v>
      </c>
      <c r="M77" s="21">
        <f t="shared" si="65"/>
        <v>0</v>
      </c>
      <c r="N77" s="21">
        <f t="shared" si="65"/>
        <v>0</v>
      </c>
      <c r="O77" s="21">
        <f t="shared" ref="O77:O82" si="67">SUM(J77:N77)</f>
        <v>2514.3406209768827</v>
      </c>
      <c r="P77" s="4"/>
      <c r="Q77" s="83">
        <f t="shared" ref="Q77:U82" si="68">Q$15*(Q50)^1.2</f>
        <v>1461.0711989350987</v>
      </c>
      <c r="R77" s="83">
        <f t="shared" ref="R77" si="69">R$15*(R50)^1.2</f>
        <v>943.19438719495258</v>
      </c>
      <c r="S77" s="83">
        <f t="shared" si="68"/>
        <v>0</v>
      </c>
      <c r="T77" s="83">
        <f t="shared" si="68"/>
        <v>0</v>
      </c>
      <c r="U77" s="83">
        <f t="shared" si="68"/>
        <v>0</v>
      </c>
      <c r="V77" s="83">
        <f t="shared" ref="V77:V82" si="70">SUM(Q77:U77)</f>
        <v>2404.2655861300514</v>
      </c>
      <c r="W77" s="4"/>
      <c r="X77" s="83">
        <f t="shared" ref="X77:AB82" si="71">X$15*(X50)^1.2</f>
        <v>1606.6410303721268</v>
      </c>
      <c r="Y77" s="83">
        <f t="shared" ref="Y77" si="72">Y$15*(Y50)^1.2</f>
        <v>1016.3563511500156</v>
      </c>
      <c r="Z77" s="83">
        <f t="shared" si="71"/>
        <v>0</v>
      </c>
      <c r="AA77" s="83">
        <f t="shared" si="71"/>
        <v>0</v>
      </c>
      <c r="AB77" s="83">
        <f t="shared" si="71"/>
        <v>0</v>
      </c>
      <c r="AC77" s="83">
        <f t="shared" ref="AC77:AC82" si="73">SUM(X77:AB77)</f>
        <v>2622.9973815221424</v>
      </c>
      <c r="AD77" s="4"/>
      <c r="AE77" s="46">
        <v>2.8185595884341636E-6</v>
      </c>
      <c r="AF77" s="26">
        <f>$O$77*$AE77</f>
        <v>7.0868188658439017E-3</v>
      </c>
      <c r="AG77" s="26">
        <f>$V$77*$AE77</f>
        <v>6.7765658209291407E-3</v>
      </c>
      <c r="AH77" s="26">
        <f>$AC$77*$AE77</f>
        <v>7.3930744201269388E-3</v>
      </c>
      <c r="AI77" s="17" t="s">
        <v>68</v>
      </c>
    </row>
    <row r="78" spans="1:35" ht="15.75" outlineLevel="1" x14ac:dyDescent="0.3">
      <c r="A78" s="267"/>
      <c r="B78" s="17" t="s">
        <v>15</v>
      </c>
      <c r="C78" s="17"/>
      <c r="D78" s="239" t="s">
        <v>113</v>
      </c>
      <c r="E78" s="240"/>
      <c r="F78" s="240"/>
      <c r="G78" s="240"/>
      <c r="H78" s="240"/>
      <c r="I78" s="241"/>
      <c r="J78" s="21">
        <f t="shared" si="65"/>
        <v>1710.2566387018733</v>
      </c>
      <c r="K78" s="21">
        <f t="shared" ref="K78" si="74">K$15*(K51)^1.2</f>
        <v>1096.0839216514948</v>
      </c>
      <c r="L78" s="21">
        <f t="shared" si="65"/>
        <v>0</v>
      </c>
      <c r="M78" s="21">
        <f t="shared" si="65"/>
        <v>0</v>
      </c>
      <c r="N78" s="21">
        <f t="shared" si="65"/>
        <v>0</v>
      </c>
      <c r="O78" s="21">
        <f t="shared" si="67"/>
        <v>2806.3405603533683</v>
      </c>
      <c r="P78" s="4"/>
      <c r="Q78" s="83">
        <f t="shared" si="68"/>
        <v>1625.517940083038</v>
      </c>
      <c r="R78" s="83">
        <f t="shared" ref="R78" si="75">R$15*(R51)^1.2</f>
        <v>1054.2803272433509</v>
      </c>
      <c r="S78" s="83">
        <f t="shared" si="68"/>
        <v>0</v>
      </c>
      <c r="T78" s="83">
        <f t="shared" si="68"/>
        <v>0</v>
      </c>
      <c r="U78" s="83">
        <f t="shared" si="68"/>
        <v>0</v>
      </c>
      <c r="V78" s="83">
        <f t="shared" si="70"/>
        <v>2679.7982673263887</v>
      </c>
      <c r="W78" s="4"/>
      <c r="X78" s="83">
        <f t="shared" si="71"/>
        <v>1793.5065723903754</v>
      </c>
      <c r="Y78" s="83">
        <f t="shared" ref="Y78" si="76">Y$15*(Y51)^1.2</f>
        <v>1137.6133446325202</v>
      </c>
      <c r="Z78" s="83">
        <f t="shared" si="71"/>
        <v>0</v>
      </c>
      <c r="AA78" s="83">
        <f t="shared" si="71"/>
        <v>0</v>
      </c>
      <c r="AB78" s="83">
        <f t="shared" si="71"/>
        <v>0</v>
      </c>
      <c r="AC78" s="83">
        <f t="shared" si="73"/>
        <v>2931.1199170228956</v>
      </c>
      <c r="AD78" s="4"/>
      <c r="AE78" s="46">
        <v>2.8185595884341636E-6</v>
      </c>
      <c r="AF78" s="26">
        <f>$O$78*$AE78</f>
        <v>7.9098380947956893E-3</v>
      </c>
      <c r="AG78" s="26">
        <f>$V$78*$AE78</f>
        <v>7.553171101442051E-3</v>
      </c>
      <c r="AH78" s="26">
        <f>$AC$78*$AE78</f>
        <v>8.2615361469752322E-3</v>
      </c>
      <c r="AI78" s="17" t="s">
        <v>69</v>
      </c>
    </row>
    <row r="79" spans="1:35" ht="15.75" outlineLevel="1" x14ac:dyDescent="0.3">
      <c r="A79" s="267"/>
      <c r="B79" s="17" t="s">
        <v>14</v>
      </c>
      <c r="C79" s="17"/>
      <c r="D79" s="239" t="s">
        <v>114</v>
      </c>
      <c r="E79" s="240"/>
      <c r="F79" s="240"/>
      <c r="G79" s="240"/>
      <c r="H79" s="240"/>
      <c r="I79" s="241"/>
      <c r="J79" s="21">
        <f t="shared" si="65"/>
        <v>1949.391820192317</v>
      </c>
      <c r="K79" s="21">
        <f t="shared" ref="K79" si="77">K$15*(K52)^1.2</f>
        <v>1254.2519242962824</v>
      </c>
      <c r="L79" s="21">
        <f t="shared" si="65"/>
        <v>0</v>
      </c>
      <c r="M79" s="21">
        <f t="shared" si="65"/>
        <v>0</v>
      </c>
      <c r="N79" s="21">
        <f t="shared" si="65"/>
        <v>0</v>
      </c>
      <c r="O79" s="21">
        <f t="shared" si="67"/>
        <v>3203.6437444885996</v>
      </c>
      <c r="P79" s="4"/>
      <c r="Q79" s="83">
        <f t="shared" si="68"/>
        <v>1849.1416563612654</v>
      </c>
      <c r="R79" s="83">
        <f t="shared" ref="R79" si="78">R$15*(R52)^1.2</f>
        <v>1205.4650885195958</v>
      </c>
      <c r="S79" s="83">
        <f t="shared" si="68"/>
        <v>0</v>
      </c>
      <c r="T79" s="83">
        <f t="shared" si="68"/>
        <v>0</v>
      </c>
      <c r="U79" s="83">
        <f t="shared" si="68"/>
        <v>0</v>
      </c>
      <c r="V79" s="83">
        <f t="shared" si="70"/>
        <v>3054.6067448808612</v>
      </c>
      <c r="W79" s="4"/>
      <c r="X79" s="83">
        <f t="shared" si="71"/>
        <v>2047.7667428313166</v>
      </c>
      <c r="Y79" s="83">
        <f t="shared" ref="Y79" si="79">Y$15*(Y52)^1.2</f>
        <v>1302.6800299803331</v>
      </c>
      <c r="Z79" s="83">
        <f t="shared" si="71"/>
        <v>0</v>
      </c>
      <c r="AA79" s="83">
        <f t="shared" si="71"/>
        <v>0</v>
      </c>
      <c r="AB79" s="83">
        <f t="shared" si="71"/>
        <v>0</v>
      </c>
      <c r="AC79" s="83">
        <f t="shared" si="73"/>
        <v>3350.4467728116497</v>
      </c>
      <c r="AD79" s="4"/>
      <c r="AE79" s="46">
        <v>2.8185595884341636E-6</v>
      </c>
      <c r="AF79" s="26">
        <f>$O$79*$AE79</f>
        <v>9.0296607939554709E-3</v>
      </c>
      <c r="AG79" s="26">
        <f>$V$79*$AE79</f>
        <v>8.609591129679621E-3</v>
      </c>
      <c r="AH79" s="26">
        <f>$AC$79*$AE79</f>
        <v>9.4434338770465753E-3</v>
      </c>
      <c r="AI79" s="17" t="s">
        <v>70</v>
      </c>
    </row>
    <row r="80" spans="1:35" ht="15.75" outlineLevel="1" x14ac:dyDescent="0.3">
      <c r="A80" s="267"/>
      <c r="B80" s="17" t="s">
        <v>13</v>
      </c>
      <c r="C80" s="17"/>
      <c r="D80" s="239" t="s">
        <v>115</v>
      </c>
      <c r="E80" s="240"/>
      <c r="F80" s="240"/>
      <c r="G80" s="240"/>
      <c r="H80" s="240"/>
      <c r="I80" s="241"/>
      <c r="J80" s="21">
        <f t="shared" si="65"/>
        <v>2193.5282488139633</v>
      </c>
      <c r="K80" s="21">
        <f t="shared" ref="K80" si="80">K$15*(K53)^1.2</f>
        <v>1415.8228136420325</v>
      </c>
      <c r="L80" s="21">
        <f t="shared" si="65"/>
        <v>0</v>
      </c>
      <c r="M80" s="21">
        <f t="shared" si="65"/>
        <v>0</v>
      </c>
      <c r="N80" s="21">
        <f t="shared" si="65"/>
        <v>0</v>
      </c>
      <c r="O80" s="21">
        <f t="shared" si="67"/>
        <v>3609.3510624559958</v>
      </c>
      <c r="P80" s="4"/>
      <c r="Q80" s="83">
        <f t="shared" si="68"/>
        <v>2077.3743286634408</v>
      </c>
      <c r="R80" s="83">
        <f t="shared" ref="R80" si="81">R$15*(R53)^1.2</f>
        <v>1359.8842603368905</v>
      </c>
      <c r="S80" s="83">
        <f t="shared" si="68"/>
        <v>0</v>
      </c>
      <c r="T80" s="83">
        <f t="shared" si="68"/>
        <v>0</v>
      </c>
      <c r="U80" s="83">
        <f t="shared" si="68"/>
        <v>0</v>
      </c>
      <c r="V80" s="83">
        <f t="shared" si="70"/>
        <v>3437.2585890003311</v>
      </c>
      <c r="W80" s="4"/>
      <c r="X80" s="83">
        <f t="shared" si="71"/>
        <v>2307.4108366973333</v>
      </c>
      <c r="Y80" s="83">
        <f t="shared" ref="Y80" si="82">Y$15*(Y53)^1.2</f>
        <v>1471.3155807569769</v>
      </c>
      <c r="Z80" s="83">
        <f t="shared" si="71"/>
        <v>0</v>
      </c>
      <c r="AA80" s="83">
        <f t="shared" si="71"/>
        <v>0</v>
      </c>
      <c r="AB80" s="83">
        <f t="shared" si="71"/>
        <v>0</v>
      </c>
      <c r="AC80" s="83">
        <f t="shared" si="73"/>
        <v>3778.7264174543102</v>
      </c>
      <c r="AD80" s="4"/>
      <c r="AE80" s="46">
        <v>2.8185595884341636E-6</v>
      </c>
      <c r="AF80" s="26">
        <f>$O$80*$AE80</f>
        <v>1.0173171045110382E-2</v>
      </c>
      <c r="AG80" s="26">
        <f>$V$80*$AE80</f>
        <v>9.6881181539545669E-3</v>
      </c>
      <c r="AH80" s="26">
        <f>$AC$80*$AE80</f>
        <v>1.0650565575985323E-2</v>
      </c>
      <c r="AI80" s="17" t="s">
        <v>71</v>
      </c>
    </row>
    <row r="81" spans="1:43" ht="15.75" outlineLevel="1" x14ac:dyDescent="0.3">
      <c r="A81" s="267"/>
      <c r="B81" s="17" t="s">
        <v>12</v>
      </c>
      <c r="C81" s="17"/>
      <c r="D81" s="239" t="s">
        <v>116</v>
      </c>
      <c r="E81" s="240"/>
      <c r="F81" s="240"/>
      <c r="G81" s="240"/>
      <c r="H81" s="240"/>
      <c r="I81" s="241"/>
      <c r="J81" s="21">
        <f t="shared" si="65"/>
        <v>2442.2865257066055</v>
      </c>
      <c r="K81" s="21">
        <f t="shared" ref="K81" si="83">K$15*(K54)^1.2</f>
        <v>1580.5317286723093</v>
      </c>
      <c r="L81" s="21">
        <f t="shared" si="65"/>
        <v>0</v>
      </c>
      <c r="M81" s="21">
        <f t="shared" si="65"/>
        <v>0</v>
      </c>
      <c r="N81" s="21">
        <f t="shared" si="65"/>
        <v>0</v>
      </c>
      <c r="O81" s="21">
        <f t="shared" si="67"/>
        <v>4022.8182543789148</v>
      </c>
      <c r="P81" s="4"/>
      <c r="Q81" s="83">
        <f t="shared" si="68"/>
        <v>2309.8709335823219</v>
      </c>
      <c r="R81" s="83">
        <f t="shared" ref="R81" si="84">R$15*(R54)^1.2</f>
        <v>1517.2873743358159</v>
      </c>
      <c r="S81" s="83">
        <f t="shared" si="68"/>
        <v>0</v>
      </c>
      <c r="T81" s="83">
        <f t="shared" si="68"/>
        <v>0</v>
      </c>
      <c r="U81" s="83">
        <f t="shared" si="68"/>
        <v>0</v>
      </c>
      <c r="V81" s="83">
        <f t="shared" si="70"/>
        <v>3827.1583079181378</v>
      </c>
      <c r="W81" s="4"/>
      <c r="X81" s="83">
        <f t="shared" si="71"/>
        <v>2572.0258009257554</v>
      </c>
      <c r="Y81" s="83">
        <f t="shared" ref="Y81" si="85">Y$15*(Y54)^1.2</f>
        <v>1643.2409734006606</v>
      </c>
      <c r="Z81" s="83">
        <f t="shared" si="71"/>
        <v>0</v>
      </c>
      <c r="AA81" s="83">
        <f t="shared" si="71"/>
        <v>0</v>
      </c>
      <c r="AB81" s="83">
        <f t="shared" si="71"/>
        <v>0</v>
      </c>
      <c r="AC81" s="83">
        <f t="shared" si="73"/>
        <v>4215.2667743264155</v>
      </c>
      <c r="AD81" s="4"/>
      <c r="AE81" s="46">
        <v>2.8185595884341636E-6</v>
      </c>
      <c r="AF81" s="26">
        <f>$O$81*$AE81</f>
        <v>1.1338552963407675E-2</v>
      </c>
      <c r="AG81" s="26">
        <f>$V$81*$AE81</f>
        <v>1.0787073745238136E-2</v>
      </c>
      <c r="AH81" s="26">
        <f>$AC$81*$AE81</f>
        <v>1.1880980584585666E-2</v>
      </c>
      <c r="AI81" s="17" t="s">
        <v>72</v>
      </c>
    </row>
    <row r="82" spans="1:43" ht="15.75" outlineLevel="1" x14ac:dyDescent="0.3">
      <c r="A82" s="267"/>
      <c r="B82" s="17" t="s">
        <v>90</v>
      </c>
      <c r="C82" s="17"/>
      <c r="D82" s="239" t="s">
        <v>117</v>
      </c>
      <c r="E82" s="240"/>
      <c r="F82" s="240"/>
      <c r="G82" s="240"/>
      <c r="H82" s="240"/>
      <c r="I82" s="241"/>
      <c r="J82" s="21">
        <f t="shared" si="65"/>
        <v>3082.4124569049363</v>
      </c>
      <c r="K82" s="21">
        <f t="shared" ref="K82" si="86">K$15*(K55)^1.2</f>
        <v>2004.6511581357804</v>
      </c>
      <c r="L82" s="21">
        <f t="shared" si="65"/>
        <v>0</v>
      </c>
      <c r="M82" s="21">
        <f t="shared" si="65"/>
        <v>0</v>
      </c>
      <c r="N82" s="21">
        <f t="shared" si="65"/>
        <v>0</v>
      </c>
      <c r="O82" s="21">
        <f t="shared" si="67"/>
        <v>5087.0636150407172</v>
      </c>
      <c r="P82" s="4"/>
      <c r="Q82" s="83">
        <f t="shared" si="68"/>
        <v>2907.9519845587315</v>
      </c>
      <c r="R82" s="83">
        <f t="shared" ref="R82" si="87">R$15*(R55)^1.2</f>
        <v>1922.5418033249448</v>
      </c>
      <c r="S82" s="83">
        <f t="shared" si="68"/>
        <v>0</v>
      </c>
      <c r="T82" s="83">
        <f t="shared" si="68"/>
        <v>0</v>
      </c>
      <c r="U82" s="83">
        <f t="shared" si="68"/>
        <v>0</v>
      </c>
      <c r="V82" s="83">
        <f t="shared" si="70"/>
        <v>4830.4937878836763</v>
      </c>
      <c r="W82" s="4"/>
      <c r="X82" s="83">
        <f t="shared" si="71"/>
        <v>3253.149144600915</v>
      </c>
      <c r="Y82" s="83">
        <f t="shared" ref="Y82" si="88">Y$15*(Y55)^1.2</f>
        <v>2085.9933465253448</v>
      </c>
      <c r="Z82" s="83">
        <f t="shared" si="71"/>
        <v>0</v>
      </c>
      <c r="AA82" s="83">
        <f t="shared" si="71"/>
        <v>0</v>
      </c>
      <c r="AB82" s="83">
        <f t="shared" si="71"/>
        <v>0</v>
      </c>
      <c r="AC82" s="83">
        <f t="shared" si="73"/>
        <v>5339.1424911262602</v>
      </c>
      <c r="AD82" s="4"/>
      <c r="AE82" s="46">
        <v>2.8185595884341636E-6</v>
      </c>
      <c r="AF82" s="26">
        <f>$O$82*$AE82</f>
        <v>1.4338191929147573E-2</v>
      </c>
      <c r="AG82" s="26">
        <f>$V$82*$AE82</f>
        <v>1.3615034582711199E-2</v>
      </c>
      <c r="AH82" s="26">
        <f>$AC$82*$AE82</f>
        <v>1.5048691262380186E-2</v>
      </c>
      <c r="AI82" s="17" t="s">
        <v>92</v>
      </c>
    </row>
    <row r="83" spans="1:43" ht="16.5" outlineLevel="1" x14ac:dyDescent="0.3">
      <c r="A83" s="20" t="str">
        <f>IF($O$1="de","D3: Schienenfehler in der Geraden infolge Antriebs",
IF($O$1="fr","D3: Défauts de rail dans les alignements dus à la traction",
IF($O$1="it","D3: Guasto di rotaia in rettilineo dovuto a trazione",
IF($O$1="en","D3: Rail defects on straight sections due to drive","select language in cell N1"))))</f>
        <v>D3: Schienenfehler in der Geraden infolge Antriebs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54" t="str">
        <f>IF($O$1="de","gewichtetes Mittel",
IF($O$1="fr","moyenne pondérée",
IF($O$1="it","Media pesata",
IF($O$1="en","weighted average","select language in cell N1"))))</f>
        <v>gewichtetes Mittel</v>
      </c>
      <c r="P83" s="4"/>
      <c r="Q83" s="80"/>
      <c r="R83" s="80"/>
      <c r="S83" s="80"/>
      <c r="T83" s="80"/>
      <c r="U83" s="80"/>
      <c r="V83" s="81" t="str">
        <f>O83</f>
        <v>gewichtetes Mittel</v>
      </c>
      <c r="W83" s="4"/>
      <c r="X83" s="80"/>
      <c r="Y83" s="80"/>
      <c r="Z83" s="80"/>
      <c r="AA83" s="80"/>
      <c r="AB83" s="80"/>
      <c r="AC83" s="81" t="str">
        <f>V83</f>
        <v>gewichtetes Mittel</v>
      </c>
      <c r="AD83" s="4"/>
      <c r="AE83" s="48"/>
      <c r="AF83" s="28"/>
      <c r="AG83" s="28"/>
      <c r="AH83" s="28"/>
      <c r="AI83" s="20"/>
    </row>
    <row r="84" spans="1:43" ht="31.15" customHeight="1" outlineLevel="1" x14ac:dyDescent="0.25">
      <c r="A84" s="22" t="str">
        <f>IF($O$1="de","Schädigungspotential D3 des Fahrzeugs aufgrund Antrieb in der Geraden (TractionPowerValue Tpv)",
IF($O$1="fr","Dégât potentiel D3 du véhicule dû à la traction dans les alignements (TractionPowerValue Tpv)",
IF($O$1="it","Potenziale di danneggiamento D3 del veicolo dovuto a trazione in rettilineo (TractionPowerValue Tpv)",
IF($O$1="en","Damage potential D3 of the vehicle due to drive on straight sections (TractionPowerValue Tpv)","select language in cell N1"))))</f>
        <v>Schädigungspotential D3 des Fahrzeugs aufgrund Antrieb in der Geraden (TractionPowerValue Tpv)</v>
      </c>
      <c r="B84" s="17" t="s">
        <v>10</v>
      </c>
      <c r="C84" s="17"/>
      <c r="D84" s="239" t="s">
        <v>120</v>
      </c>
      <c r="E84" s="240"/>
      <c r="F84" s="240"/>
      <c r="G84" s="240"/>
      <c r="H84" s="240"/>
      <c r="I84" s="241"/>
      <c r="J84" s="23">
        <f>IF(J61="",0,J19/J61)</f>
        <v>2.2155144191249496</v>
      </c>
      <c r="K84" s="23">
        <f>IF(K61="",0,K19/K61)</f>
        <v>0</v>
      </c>
      <c r="L84" s="23">
        <f>IF(L61="",0,L19/L61)</f>
        <v>0</v>
      </c>
      <c r="M84" s="23">
        <f>IF(M61="",0,M19/M61)</f>
        <v>0</v>
      </c>
      <c r="N84" s="23">
        <f>IF(N61="",0,N19/N61)</f>
        <v>0</v>
      </c>
      <c r="O84" s="23">
        <f>IFERROR(SUMPRODUCT(J84:N84,J14:N14)/SUM(J14:N14),0)</f>
        <v>2.2155144191249496</v>
      </c>
      <c r="P84" s="4"/>
      <c r="Q84" s="84">
        <f>IF(Q61="",0,Q19/Q61)</f>
        <v>2.2532264314253654</v>
      </c>
      <c r="R84" s="84">
        <f>IF(R61="",0,R19/R61)</f>
        <v>0</v>
      </c>
      <c r="S84" s="84">
        <f>IF(S61="",0,S19/S61)</f>
        <v>0</v>
      </c>
      <c r="T84" s="84">
        <f>IF(T61="",0,T19/T61)</f>
        <v>0</v>
      </c>
      <c r="U84" s="84">
        <f>IF(U61="",0,U19/U61)</f>
        <v>0</v>
      </c>
      <c r="V84" s="84">
        <f>IFERROR(SUMPRODUCT(Q84:U84,Q14:U14)/SUM(Q14:U14),0)</f>
        <v>2.2532264314253654</v>
      </c>
      <c r="W84" s="4"/>
      <c r="X84" s="84">
        <f>IF(X61="",0,X19/X61)</f>
        <v>2.1793417424580785</v>
      </c>
      <c r="Y84" s="84">
        <f>IF(Y61="",0,Y19/Y61)</f>
        <v>0</v>
      </c>
      <c r="Z84" s="84">
        <f>IF(Z61="",0,Z19/Z61)</f>
        <v>0</v>
      </c>
      <c r="AA84" s="84">
        <f>IF(AA61="",0,AA19/AA61)</f>
        <v>0</v>
      </c>
      <c r="AB84" s="84">
        <f>IF(AB61="",0,AB19/AB61)</f>
        <v>0</v>
      </c>
      <c r="AC84" s="84">
        <f>IFERROR(SUMPRODUCT(X84:AB84,X14:AB14)/SUM(X14:AB14),0)</f>
        <v>2.1793417424580785</v>
      </c>
      <c r="AD84" s="4"/>
      <c r="AE84" s="46">
        <v>3.3799267259544087E-3</v>
      </c>
      <c r="AF84" s="26">
        <f>$O$84*$AE84</f>
        <v>7.4882763969377746E-3</v>
      </c>
      <c r="AG84" s="26">
        <f>$V$84*$AE84</f>
        <v>7.6157402352014713E-3</v>
      </c>
      <c r="AH84" s="26">
        <f>$AC$84*$AE84</f>
        <v>7.3660154003221097E-3</v>
      </c>
      <c r="AI84" s="17" t="s">
        <v>73</v>
      </c>
    </row>
    <row r="85" spans="1:43" ht="16.5" outlineLevel="1" x14ac:dyDescent="0.3">
      <c r="A85" s="257" t="str">
        <f>IF($O$1="de","D4: Schienenfehler und -verschleiss im Gleisbogen",
IF($O$1="fr","D4: Défauts de rail  et usure du rail dans les courbes",
IF($O$1="it","D4: Guasto di rotaia e usura della stessa in curva",
IF($O$1="en","D4: Rail defects and wear on curved track","select language in cell N1"))))</f>
        <v>D4: Schienenfehler und -verschleiss im Gleisbogen</v>
      </c>
      <c r="B85" s="258"/>
      <c r="C85" s="258"/>
      <c r="D85" s="258"/>
      <c r="E85" s="258"/>
      <c r="F85" s="258"/>
      <c r="G85" s="258"/>
      <c r="H85" s="258"/>
      <c r="I85" s="258"/>
      <c r="J85" s="258"/>
      <c r="K85" s="258"/>
      <c r="L85" s="258"/>
      <c r="M85" s="258"/>
      <c r="N85" s="259"/>
      <c r="O85" s="54"/>
      <c r="P85" s="4"/>
      <c r="Q85" s="81"/>
      <c r="R85" s="81"/>
      <c r="S85" s="81"/>
      <c r="T85" s="81"/>
      <c r="U85" s="81"/>
      <c r="V85" s="81"/>
      <c r="W85" s="4"/>
      <c r="X85" s="81"/>
      <c r="Y85" s="81"/>
      <c r="Z85" s="81"/>
      <c r="AA85" s="81"/>
      <c r="AB85" s="81"/>
      <c r="AC85" s="81"/>
      <c r="AD85" s="4"/>
      <c r="AE85" s="49"/>
      <c r="AF85" s="29"/>
      <c r="AG85" s="29"/>
      <c r="AH85" s="29"/>
      <c r="AI85" s="30"/>
    </row>
    <row r="86" spans="1:43" s="2" customFormat="1" ht="15.75" outlineLevel="1" x14ac:dyDescent="0.25">
      <c r="A86" s="242" t="str">
        <f>IF($O$1="de","D4.1: Rollkontaktermüdung im Gleisbogen",
IF($O$1="fr","D4.1: Fatigue de contact de roulement dans les courbes",
IF($O$1="it","D4.1: Affaticamento contatto rotolate in curva",
IF($O$1="en","D4.1: Rolling contact fatigue on curved track","select language in cell N1"))))</f>
        <v>D4.1: Rollkontaktermüdung im Gleisbogen</v>
      </c>
      <c r="B86" s="243"/>
      <c r="C86" s="243"/>
      <c r="D86" s="243"/>
      <c r="E86" s="243"/>
      <c r="F86" s="243"/>
      <c r="G86" s="243"/>
      <c r="H86" s="243"/>
      <c r="I86" s="243"/>
      <c r="J86" s="243"/>
      <c r="K86" s="243"/>
      <c r="L86" s="243"/>
      <c r="M86" s="243"/>
      <c r="N86" s="244"/>
      <c r="O86" s="55" t="str">
        <f>IF($O$1="de","Summe",
IF($O$1="fr","Somme",
IF($O$1="it","Somma",
IF($O$1="en","Sum","select language in cell N1"))))</f>
        <v>Summe</v>
      </c>
      <c r="P86" s="4"/>
      <c r="Q86" s="90"/>
      <c r="R86" s="91"/>
      <c r="S86" s="91"/>
      <c r="T86" s="91"/>
      <c r="U86" s="92"/>
      <c r="V86" s="85" t="str">
        <f>O86</f>
        <v>Summe</v>
      </c>
      <c r="W86" s="4"/>
      <c r="X86" s="90"/>
      <c r="Y86" s="91"/>
      <c r="Z86" s="91"/>
      <c r="AA86" s="91"/>
      <c r="AB86" s="92"/>
      <c r="AC86" s="85" t="str">
        <f>V86</f>
        <v>Summe</v>
      </c>
      <c r="AD86" s="4"/>
      <c r="AE86" s="50"/>
      <c r="AF86" s="31"/>
      <c r="AG86" s="31"/>
      <c r="AH86" s="31"/>
      <c r="AI86" s="32"/>
      <c r="AP86" s="57"/>
      <c r="AQ86" s="57"/>
    </row>
    <row r="87" spans="1:43" ht="15.75" outlineLevel="1" x14ac:dyDescent="0.3">
      <c r="A87" s="245" t="str">
        <f>IF($O$1="de","Schädigungspotential D4.1 der führenden Radsätze aufgrund Reibarbeit im Bogen",
IF($O$1="fr","Dégât potentiel D4.1 des essieux avant dû au frottement dans les courbes",
IF($O$1="it","Potenziale di danneggiamento D4.1 delle sale montate di guida in seguito all’attrito in curva",
IF($O$1="en","Damage potential D4.1 of leading wheelsets due to friction work on curves","select language in cell N1"))))</f>
        <v>Schädigungspotential D4.1 der führenden Radsätze aufgrund Reibarbeit im Bogen</v>
      </c>
      <c r="B87" s="17" t="s">
        <v>5</v>
      </c>
      <c r="C87" s="17"/>
      <c r="D87" s="248" t="s">
        <v>208</v>
      </c>
      <c r="E87" s="249"/>
      <c r="F87" s="249"/>
      <c r="G87" s="249"/>
      <c r="H87" s="249"/>
      <c r="I87" s="250"/>
      <c r="J87" s="24">
        <f t="shared" ref="J87:N90" si="89">J$13*IF(J20&gt;=15,
  IF(J20&lt;65,0.02*J20-0.3,
   IF((J20&lt;175),(-J20+175)/110,0)),0)</f>
        <v>0</v>
      </c>
      <c r="K87" s="24">
        <f t="shared" ref="K87" si="90">K$13*IF(K20&gt;=15,
  IF(K20&lt;65,0.02*K20-0.3,
   IF((K20&lt;175),(-K20+175)/110,0)),0)</f>
        <v>0.45454545454545453</v>
      </c>
      <c r="L87" s="24">
        <f t="shared" si="89"/>
        <v>0</v>
      </c>
      <c r="M87" s="24">
        <f t="shared" si="89"/>
        <v>0</v>
      </c>
      <c r="N87" s="24">
        <f t="shared" si="89"/>
        <v>0</v>
      </c>
      <c r="O87" s="24">
        <f>SUM(J87:N87)</f>
        <v>0.45454545454545453</v>
      </c>
      <c r="P87" s="4"/>
      <c r="Q87" s="86">
        <f t="shared" ref="Q87:U90" si="91">Q$13*IF(Q20&gt;=15,
  IF(Q20&lt;65,0.02*Q20-0.3,
   IF((Q20&lt;175),(-Q20+175)/110,0)),0)</f>
        <v>0</v>
      </c>
      <c r="R87" s="86">
        <f t="shared" ref="R87" si="92">R$13*IF(R20&gt;=15,
  IF(R20&lt;65,0.02*R20-0.3,
   IF((R20&lt;175),(-R20+175)/110,0)),0)</f>
        <v>0.68854872727272687</v>
      </c>
      <c r="S87" s="86">
        <f t="shared" si="91"/>
        <v>0</v>
      </c>
      <c r="T87" s="86">
        <f t="shared" si="91"/>
        <v>0</v>
      </c>
      <c r="U87" s="86">
        <f t="shared" si="91"/>
        <v>0</v>
      </c>
      <c r="V87" s="86">
        <f>SUM(Q87:U87)</f>
        <v>0.68854872727272687</v>
      </c>
      <c r="W87" s="4"/>
      <c r="X87" s="86">
        <f t="shared" ref="X87:AB90" si="93">X$13*IF(X20&gt;=15,
  IF(X20&lt;65,0.02*X20-0.3,
   IF((X20&lt;175),(-X20+175)/110,0)),0)</f>
        <v>0</v>
      </c>
      <c r="Y87" s="86">
        <f t="shared" ref="Y87" si="94">Y$13*IF(Y20&gt;=15,
  IF(Y20&lt;65,0.02*Y20-0.3,
   IF((Y20&lt;175),(-Y20+175)/110,0)),0)</f>
        <v>0.21345781818181836</v>
      </c>
      <c r="Z87" s="86">
        <f t="shared" si="93"/>
        <v>0</v>
      </c>
      <c r="AA87" s="86">
        <f t="shared" si="93"/>
        <v>0</v>
      </c>
      <c r="AB87" s="86">
        <f t="shared" si="93"/>
        <v>0</v>
      </c>
      <c r="AC87" s="86">
        <f>SUM(X87:AB87)</f>
        <v>0.21345781818181836</v>
      </c>
      <c r="AD87" s="4"/>
      <c r="AE87" s="46">
        <v>8.1359599718872272E-2</v>
      </c>
      <c r="AF87" s="26">
        <f>$O$87*$AE87</f>
        <v>3.6981636235851031E-2</v>
      </c>
      <c r="AG87" s="26">
        <f>$V$87*$AE87</f>
        <v>5.6020048837848009E-2</v>
      </c>
      <c r="AH87" s="26">
        <f>$AC$87*$AE87</f>
        <v>1.7366842644136557E-2</v>
      </c>
      <c r="AI87" s="17" t="s">
        <v>77</v>
      </c>
    </row>
    <row r="88" spans="1:43" ht="15.75" outlineLevel="1" x14ac:dyDescent="0.3">
      <c r="A88" s="246"/>
      <c r="B88" s="17" t="s">
        <v>6</v>
      </c>
      <c r="C88" s="17"/>
      <c r="D88" s="251"/>
      <c r="E88" s="252"/>
      <c r="F88" s="252"/>
      <c r="G88" s="252"/>
      <c r="H88" s="252"/>
      <c r="I88" s="253"/>
      <c r="J88" s="24">
        <f t="shared" si="89"/>
        <v>9.0909090909090912E-2</v>
      </c>
      <c r="K88" s="24">
        <f t="shared" ref="K88" si="95">K$13*IF(K21&gt;=15,
  IF(K21&lt;65,0.02*K21-0.3,
   IF((K21&lt;175),(-K21+175)/110,0)),0)</f>
        <v>1.3636363636363635</v>
      </c>
      <c r="L88" s="24">
        <f t="shared" si="89"/>
        <v>0</v>
      </c>
      <c r="M88" s="24">
        <f t="shared" si="89"/>
        <v>0</v>
      </c>
      <c r="N88" s="24">
        <f t="shared" si="89"/>
        <v>0</v>
      </c>
      <c r="O88" s="24">
        <f>SUM(J88:N88)</f>
        <v>1.4545454545454544</v>
      </c>
      <c r="P88" s="4"/>
      <c r="Q88" s="86">
        <f t="shared" si="91"/>
        <v>0.21361478181818153</v>
      </c>
      <c r="R88" s="86">
        <f t="shared" ref="R88" si="96">R$13*IF(R21&gt;=15,
  IF(R21&lt;65,0.02*R21-0.3,
   IF((R21&lt;175),(-R21+175)/110,0)),0)</f>
        <v>1.5196385454545454</v>
      </c>
      <c r="S88" s="86">
        <f t="shared" si="91"/>
        <v>0</v>
      </c>
      <c r="T88" s="86">
        <f t="shared" si="91"/>
        <v>0</v>
      </c>
      <c r="U88" s="86">
        <f t="shared" si="91"/>
        <v>0</v>
      </c>
      <c r="V88" s="86">
        <f>SUM(Q88:U88)</f>
        <v>1.7332533272727269</v>
      </c>
      <c r="W88" s="4"/>
      <c r="X88" s="86">
        <f t="shared" si="93"/>
        <v>0</v>
      </c>
      <c r="Y88" s="86">
        <f t="shared" ref="Y88" si="97">Y$13*IF(Y21&gt;=15,
  IF(Y21&lt;65,0.02*Y21-0.3,
   IF((Y21&lt;175),(-Y21+175)/110,0)),0)</f>
        <v>1.2029112727272728</v>
      </c>
      <c r="Z88" s="86">
        <f t="shared" si="93"/>
        <v>0</v>
      </c>
      <c r="AA88" s="86">
        <f t="shared" si="93"/>
        <v>0</v>
      </c>
      <c r="AB88" s="86">
        <f t="shared" si="93"/>
        <v>0</v>
      </c>
      <c r="AC88" s="86">
        <f>SUM(X88:AB88)</f>
        <v>1.2029112727272728</v>
      </c>
      <c r="AD88" s="4"/>
      <c r="AE88" s="46">
        <v>1.095348185707545E-2</v>
      </c>
      <c r="AF88" s="26">
        <f>$O$88*$AE88</f>
        <v>1.5932337246655198E-2</v>
      </c>
      <c r="AG88" s="26">
        <f>$V$88*$AE88</f>
        <v>1.898515887399747E-2</v>
      </c>
      <c r="AH88" s="26">
        <f>$AC$88*$AE88</f>
        <v>1.3176066801489722E-2</v>
      </c>
      <c r="AI88" s="17" t="s">
        <v>76</v>
      </c>
    </row>
    <row r="89" spans="1:43" ht="15.75" outlineLevel="1" x14ac:dyDescent="0.3">
      <c r="A89" s="246"/>
      <c r="B89" s="17" t="s">
        <v>7</v>
      </c>
      <c r="C89" s="17"/>
      <c r="D89" s="251"/>
      <c r="E89" s="252"/>
      <c r="F89" s="252"/>
      <c r="G89" s="252"/>
      <c r="H89" s="252"/>
      <c r="I89" s="253"/>
      <c r="J89" s="24">
        <f t="shared" si="89"/>
        <v>1.3636363636363635</v>
      </c>
      <c r="K89" s="24">
        <f t="shared" ref="K89" si="98">K$13*IF(K22&gt;=15,
  IF(K22&lt;65,0.02*K22-0.3,
   IF((K22&lt;175),(-K22+175)/110,0)),0)</f>
        <v>1.7999999999999998</v>
      </c>
      <c r="L89" s="24">
        <f t="shared" si="89"/>
        <v>0</v>
      </c>
      <c r="M89" s="24">
        <f t="shared" si="89"/>
        <v>0</v>
      </c>
      <c r="N89" s="24">
        <f t="shared" si="89"/>
        <v>0</v>
      </c>
      <c r="O89" s="24">
        <f>SUM(J89:N89)</f>
        <v>3.1636363636363631</v>
      </c>
      <c r="P89" s="4"/>
      <c r="Q89" s="86">
        <f t="shared" si="91"/>
        <v>1.4358161818181816</v>
      </c>
      <c r="R89" s="86">
        <f t="shared" ref="R89" si="99">R$13*IF(R22&gt;=15,
  IF(R22&lt;65,0.02*R22-0.3,
   IF((R22&lt;175),(-R22+175)/110,0)),0)</f>
        <v>1.5940771200000001</v>
      </c>
      <c r="S89" s="86">
        <f t="shared" si="91"/>
        <v>0</v>
      </c>
      <c r="T89" s="86">
        <f t="shared" si="91"/>
        <v>0</v>
      </c>
      <c r="U89" s="86">
        <f t="shared" si="91"/>
        <v>0</v>
      </c>
      <c r="V89" s="86">
        <f>SUM(Q89:U89)</f>
        <v>3.0298933018181815</v>
      </c>
      <c r="W89" s="4"/>
      <c r="X89" s="86">
        <f t="shared" si="93"/>
        <v>1.2899980000000004</v>
      </c>
      <c r="Y89" s="86">
        <f t="shared" ref="Y89" si="100">Y$13*IF(Y22&gt;=15,
  IF(Y22&lt;65,0.02*Y22-0.3,
   IF((Y22&lt;175),(-Y22+175)/110,0)),0)</f>
        <v>1.9944740363636364</v>
      </c>
      <c r="Z89" s="86">
        <f t="shared" si="93"/>
        <v>0</v>
      </c>
      <c r="AA89" s="86">
        <f t="shared" si="93"/>
        <v>0</v>
      </c>
      <c r="AB89" s="86">
        <f t="shared" si="93"/>
        <v>0</v>
      </c>
      <c r="AC89" s="86">
        <f>SUM(X89:AB89)</f>
        <v>3.2844720363636366</v>
      </c>
      <c r="AD89" s="4"/>
      <c r="AE89" s="46">
        <v>1.095348185707545E-2</v>
      </c>
      <c r="AF89" s="26">
        <f>$O$89*$AE89</f>
        <v>3.4652833511475051E-2</v>
      </c>
      <c r="AG89" s="26">
        <f>$V$89*$AE89</f>
        <v>3.3187881310339881E-2</v>
      </c>
      <c r="AH89" s="26">
        <f>$AC$89*$AE89</f>
        <v>3.5976404860380749E-2</v>
      </c>
      <c r="AI89" s="17" t="s">
        <v>75</v>
      </c>
    </row>
    <row r="90" spans="1:43" ht="15.6" customHeight="1" outlineLevel="1" x14ac:dyDescent="0.3">
      <c r="A90" s="247"/>
      <c r="B90" s="17" t="s">
        <v>8</v>
      </c>
      <c r="C90" s="17"/>
      <c r="D90" s="254"/>
      <c r="E90" s="255"/>
      <c r="F90" s="255"/>
      <c r="G90" s="255"/>
      <c r="H90" s="255"/>
      <c r="I90" s="256"/>
      <c r="J90" s="24">
        <f t="shared" si="89"/>
        <v>1.4</v>
      </c>
      <c r="K90" s="24">
        <f t="shared" ref="K90" si="101">K$13*IF(K23&gt;=15,
  IF(K23&lt;65,0.02*K23-0.3,
   IF((K23&lt;175),(-K23+175)/110,0)),0)</f>
        <v>0.4</v>
      </c>
      <c r="L90" s="24">
        <f t="shared" si="89"/>
        <v>0</v>
      </c>
      <c r="M90" s="24">
        <f t="shared" si="89"/>
        <v>0</v>
      </c>
      <c r="N90" s="24">
        <f t="shared" si="89"/>
        <v>0</v>
      </c>
      <c r="O90" s="24">
        <f>SUM(J90:N90)</f>
        <v>1.7999999999999998</v>
      </c>
      <c r="P90" s="4"/>
      <c r="Q90" s="86">
        <f t="shared" si="91"/>
        <v>1.3206022000000002</v>
      </c>
      <c r="R90" s="86">
        <f t="shared" ref="R90" si="102">R$13*IF(R23&gt;=15,
  IF(R23&lt;65,0.02*R23-0.3,
   IF((R23&lt;175),(-R23+175)/110,0)),0)</f>
        <v>0.31419880000000011</v>
      </c>
      <c r="S90" s="86">
        <f t="shared" si="91"/>
        <v>0</v>
      </c>
      <c r="T90" s="86">
        <f t="shared" si="91"/>
        <v>0</v>
      </c>
      <c r="U90" s="86">
        <f t="shared" si="91"/>
        <v>0</v>
      </c>
      <c r="V90" s="86">
        <f>SUM(Q90:U90)</f>
        <v>1.6348010000000004</v>
      </c>
      <c r="W90" s="4"/>
      <c r="X90" s="86">
        <f t="shared" si="93"/>
        <v>1.4810021999999994</v>
      </c>
      <c r="Y90" s="86">
        <f t="shared" ref="Y90" si="103">Y$13*IF(Y23&gt;=15,
  IF(Y23&lt;65,0.02*Y23-0.3,
   IF((Y23&lt;175),(-Y23+175)/110,0)),0)</f>
        <v>0.48839880000000002</v>
      </c>
      <c r="Z90" s="86">
        <f t="shared" si="93"/>
        <v>0</v>
      </c>
      <c r="AA90" s="86">
        <f t="shared" si="93"/>
        <v>0</v>
      </c>
      <c r="AB90" s="86">
        <f t="shared" si="93"/>
        <v>0</v>
      </c>
      <c r="AC90" s="86">
        <f>SUM(X90:AB90)</f>
        <v>1.9694009999999995</v>
      </c>
      <c r="AD90" s="4"/>
      <c r="AE90" s="46">
        <v>1.095348185707545E-2</v>
      </c>
      <c r="AF90" s="26">
        <f>$O$90*$AE90</f>
        <v>1.9716267342735808E-2</v>
      </c>
      <c r="AG90" s="26">
        <f>$V$90*$AE90</f>
        <v>1.7906763093428806E-2</v>
      </c>
      <c r="AH90" s="26">
        <f>$AC$90*$AE90</f>
        <v>2.1571798122806244E-2</v>
      </c>
      <c r="AI90" s="17" t="s">
        <v>74</v>
      </c>
    </row>
    <row r="91" spans="1:43" ht="13.5" outlineLevel="1" x14ac:dyDescent="0.25">
      <c r="A91" s="242" t="str">
        <f>IF($O$1="de","D4.2: Verschleiss im Gleisbogen",
IF($O$1="fr","D4.2: Usure dans les courbes",
IF($O$1="it","D4.2: Usura in curva",
IF($O$1="en","D4.2: Wear on curved track","select language in cell N1"))))</f>
        <v>D4.2: Verschleiss im Gleisbogen</v>
      </c>
      <c r="B91" s="243"/>
      <c r="C91" s="243"/>
      <c r="D91" s="243"/>
      <c r="E91" s="243"/>
      <c r="F91" s="243"/>
      <c r="G91" s="243"/>
      <c r="H91" s="243"/>
      <c r="I91" s="243"/>
      <c r="J91" s="243"/>
      <c r="K91" s="243"/>
      <c r="L91" s="243"/>
      <c r="M91" s="243"/>
      <c r="N91" s="244"/>
      <c r="O91" s="56" t="str">
        <f>IF($O$1="de","Summe",
IF($O$1="fr","Somme",
IF($O$1="it","Somma",
IF($O$1="en","Sum","select language in cell N1"))))</f>
        <v>Summe</v>
      </c>
      <c r="P91" s="4"/>
      <c r="Q91" s="90"/>
      <c r="R91" s="91"/>
      <c r="S91" s="91"/>
      <c r="T91" s="91"/>
      <c r="U91" s="92"/>
      <c r="V91" s="85" t="str">
        <f>O91</f>
        <v>Summe</v>
      </c>
      <c r="W91" s="4"/>
      <c r="X91" s="90"/>
      <c r="Y91" s="91"/>
      <c r="Z91" s="91"/>
      <c r="AA91" s="91"/>
      <c r="AB91" s="92"/>
      <c r="AC91" s="85" t="str">
        <f>V91</f>
        <v>Summe</v>
      </c>
      <c r="AD91" s="4"/>
      <c r="AE91" s="51"/>
      <c r="AF91" s="33"/>
      <c r="AG91" s="33"/>
      <c r="AH91" s="33"/>
      <c r="AI91" s="34"/>
    </row>
    <row r="92" spans="1:43" ht="15.75" outlineLevel="1" x14ac:dyDescent="0.3">
      <c r="A92" s="245" t="str">
        <f>IF($O$1="de","Schädigungspotential D4.2 der führenden Radsätze aufgrund Reibarbeit im Bogen",
IF($O$1="fr","Dégât potentiel D4.2 des essieux avant dû au frottement dans les courbes",
IF($O$1="it","Potenziale di danneggiamento D4.2 delle sale montate di guida in seguito all’attrito in curva",
IF($O$1="en","Damage potential D4.2 of leading wheelsets due to friction work on curves","select language in cell N1"))))</f>
        <v>Schädigungspotential D4.2 der führenden Radsätze aufgrund Reibarbeit im Bogen</v>
      </c>
      <c r="B92" s="17" t="s">
        <v>1</v>
      </c>
      <c r="C92" s="17"/>
      <c r="D92" s="248" t="s">
        <v>209</v>
      </c>
      <c r="E92" s="249"/>
      <c r="F92" s="249"/>
      <c r="G92" s="249"/>
      <c r="H92" s="249"/>
      <c r="I92" s="250"/>
      <c r="J92" s="24">
        <f t="shared" ref="J92:N95" si="104">J$13*IF(J20&gt;=65,(J20-65)/110,0)</f>
        <v>3</v>
      </c>
      <c r="K92" s="24">
        <f t="shared" ref="K92" si="105">K$13*IF(K20&gt;=65,(K20-65)/110,0)</f>
        <v>1.5454545454545454</v>
      </c>
      <c r="L92" s="24">
        <f t="shared" si="104"/>
        <v>0</v>
      </c>
      <c r="M92" s="24">
        <f t="shared" si="104"/>
        <v>0</v>
      </c>
      <c r="N92" s="24">
        <f t="shared" si="104"/>
        <v>0</v>
      </c>
      <c r="O92" s="24">
        <f>SUM(J92:N92)</f>
        <v>4.545454545454545</v>
      </c>
      <c r="P92" s="4"/>
      <c r="Q92" s="86">
        <f t="shared" ref="Q92:U95" si="106">Q$13*IF(Q20&gt;=65,(Q20-65)/110,0)</f>
        <v>2.8339864181818184</v>
      </c>
      <c r="R92" s="86">
        <f t="shared" ref="R92" si="107">R$13*IF(R20&gt;=65,(R20-65)/110,0)</f>
        <v>1.3114512727272731</v>
      </c>
      <c r="S92" s="86">
        <f t="shared" si="106"/>
        <v>0</v>
      </c>
      <c r="T92" s="86">
        <f t="shared" si="106"/>
        <v>0</v>
      </c>
      <c r="U92" s="86">
        <f t="shared" si="106"/>
        <v>0</v>
      </c>
      <c r="V92" s="86">
        <f>SUM(Q92:U92)</f>
        <v>4.1454376909090911</v>
      </c>
      <c r="W92" s="4"/>
      <c r="X92" s="86">
        <f t="shared" ref="X92:AB95" si="108">X$13*IF(X20&gt;=65,(X20-65)/110,0)</f>
        <v>3.1693682363636348</v>
      </c>
      <c r="Y92" s="86">
        <f t="shared" ref="Y92" si="109">Y$13*IF(Y20&gt;=65,(Y20-65)/110,0)</f>
        <v>1.7865421818181817</v>
      </c>
      <c r="Z92" s="86">
        <f t="shared" si="108"/>
        <v>0</v>
      </c>
      <c r="AA92" s="86">
        <f t="shared" si="108"/>
        <v>0</v>
      </c>
      <c r="AB92" s="86">
        <f t="shared" si="108"/>
        <v>0</v>
      </c>
      <c r="AC92" s="86">
        <f>SUM(X92:AB92)</f>
        <v>4.9559104181818165</v>
      </c>
      <c r="AD92" s="4"/>
      <c r="AE92" s="46">
        <v>5.8656594312759047E-2</v>
      </c>
      <c r="AF92" s="26">
        <f>$O$92*$AE92</f>
        <v>0.26662088323981381</v>
      </c>
      <c r="AG92" s="26">
        <f>$V$92*$AE92</f>
        <v>0.24315725688447518</v>
      </c>
      <c r="AH92" s="26">
        <f>$AC$92*$AE92</f>
        <v>0.29069682684966686</v>
      </c>
      <c r="AI92" s="17" t="s">
        <v>80</v>
      </c>
    </row>
    <row r="93" spans="1:43" ht="15.75" outlineLevel="1" x14ac:dyDescent="0.3">
      <c r="A93" s="246"/>
      <c r="B93" s="17" t="s">
        <v>2</v>
      </c>
      <c r="C93" s="17"/>
      <c r="D93" s="251"/>
      <c r="E93" s="252"/>
      <c r="F93" s="252"/>
      <c r="G93" s="252"/>
      <c r="H93" s="252"/>
      <c r="I93" s="253"/>
      <c r="J93" s="24">
        <f t="shared" si="104"/>
        <v>1.9090909090909092</v>
      </c>
      <c r="K93" s="24">
        <f t="shared" ref="K93" si="110">K$13*IF(K21&gt;=65,(K21-65)/110,0)</f>
        <v>0.63636363636363635</v>
      </c>
      <c r="L93" s="24">
        <f t="shared" si="104"/>
        <v>0</v>
      </c>
      <c r="M93" s="24">
        <f t="shared" si="104"/>
        <v>0</v>
      </c>
      <c r="N93" s="24">
        <f t="shared" si="104"/>
        <v>0</v>
      </c>
      <c r="O93" s="24">
        <f>SUM(J93:N93)</f>
        <v>2.5454545454545454</v>
      </c>
      <c r="P93" s="4"/>
      <c r="Q93" s="86">
        <f t="shared" si="106"/>
        <v>1.7863852181818185</v>
      </c>
      <c r="R93" s="86">
        <f t="shared" ref="R93" si="111">R$13*IF(R21&gt;=65,(R21-65)/110,0)</f>
        <v>0.48036145454545465</v>
      </c>
      <c r="S93" s="86">
        <f t="shared" si="106"/>
        <v>0</v>
      </c>
      <c r="T93" s="86">
        <f t="shared" si="106"/>
        <v>0</v>
      </c>
      <c r="U93" s="86">
        <f t="shared" si="106"/>
        <v>0</v>
      </c>
      <c r="V93" s="86">
        <f>SUM(Q93:U93)</f>
        <v>2.2667466727272734</v>
      </c>
      <c r="W93" s="4"/>
      <c r="X93" s="86">
        <f t="shared" si="108"/>
        <v>2.0342761272727263</v>
      </c>
      <c r="Y93" s="86">
        <f t="shared" ref="Y93" si="112">Y$13*IF(Y21&gt;=65,(Y21-65)/110,0)</f>
        <v>0.79708872727272717</v>
      </c>
      <c r="Z93" s="86">
        <f t="shared" si="108"/>
        <v>0</v>
      </c>
      <c r="AA93" s="86">
        <f t="shared" si="108"/>
        <v>0</v>
      </c>
      <c r="AB93" s="86">
        <f t="shared" si="108"/>
        <v>0</v>
      </c>
      <c r="AC93" s="86">
        <f>SUM(X93:AB93)</f>
        <v>2.8313648545454537</v>
      </c>
      <c r="AD93" s="4"/>
      <c r="AE93" s="46">
        <v>2.382533380779106E-2</v>
      </c>
      <c r="AF93" s="26">
        <f>$O$93*$AE93</f>
        <v>6.0646304238013607E-2</v>
      </c>
      <c r="AG93" s="26">
        <f>$V$93*$AE93</f>
        <v>5.4005996135427004E-2</v>
      </c>
      <c r="AH93" s="26">
        <f>$AC$93*$AE93</f>
        <v>6.7458212791193212E-2</v>
      </c>
      <c r="AI93" s="17" t="s">
        <v>79</v>
      </c>
    </row>
    <row r="94" spans="1:43" ht="15.6" customHeight="1" outlineLevel="1" x14ac:dyDescent="0.3">
      <c r="A94" s="246"/>
      <c r="B94" s="17" t="s">
        <v>3</v>
      </c>
      <c r="C94" s="17"/>
      <c r="D94" s="251"/>
      <c r="E94" s="252"/>
      <c r="F94" s="252"/>
      <c r="G94" s="252"/>
      <c r="H94" s="252"/>
      <c r="I94" s="253"/>
      <c r="J94" s="24">
        <f t="shared" si="104"/>
        <v>0.63636363636363635</v>
      </c>
      <c r="K94" s="24">
        <f t="shared" ref="K94" si="113">K$13*IF(K22&gt;=65,(K22-65)/110,0)</f>
        <v>0</v>
      </c>
      <c r="L94" s="24">
        <f t="shared" si="104"/>
        <v>0</v>
      </c>
      <c r="M94" s="24">
        <f t="shared" si="104"/>
        <v>0</v>
      </c>
      <c r="N94" s="24">
        <f t="shared" si="104"/>
        <v>0</v>
      </c>
      <c r="O94" s="24">
        <f>SUM(J94:N94)</f>
        <v>0.63636363636363635</v>
      </c>
      <c r="P94" s="4"/>
      <c r="Q94" s="86">
        <f t="shared" si="106"/>
        <v>0.56418381818181829</v>
      </c>
      <c r="R94" s="86">
        <f t="shared" ref="R94" si="114">R$13*IF(R22&gt;=65,(R22-65)/110,0)</f>
        <v>0</v>
      </c>
      <c r="S94" s="86">
        <f t="shared" si="106"/>
        <v>0</v>
      </c>
      <c r="T94" s="86">
        <f t="shared" si="106"/>
        <v>0</v>
      </c>
      <c r="U94" s="86">
        <f t="shared" si="106"/>
        <v>0</v>
      </c>
      <c r="V94" s="86">
        <f>SUM(Q94:U94)</f>
        <v>0.56418381818181829</v>
      </c>
      <c r="W94" s="4"/>
      <c r="X94" s="86">
        <f t="shared" si="108"/>
        <v>0.71000199999999958</v>
      </c>
      <c r="Y94" s="86">
        <f t="shared" ref="Y94" si="115">Y$13*IF(Y22&gt;=65,(Y22-65)/110,0)</f>
        <v>5.5259636363636198E-3</v>
      </c>
      <c r="Z94" s="86">
        <f t="shared" si="108"/>
        <v>0</v>
      </c>
      <c r="AA94" s="86">
        <f t="shared" si="108"/>
        <v>0</v>
      </c>
      <c r="AB94" s="86">
        <f t="shared" si="108"/>
        <v>0</v>
      </c>
      <c r="AC94" s="86">
        <f>SUM(X94:AB94)</f>
        <v>0.71552796363636317</v>
      </c>
      <c r="AD94" s="4"/>
      <c r="AE94" s="46">
        <v>2.382533380779106E-2</v>
      </c>
      <c r="AF94" s="26">
        <f>$O$94*$AE94</f>
        <v>1.5161576059503402E-2</v>
      </c>
      <c r="AG94" s="26">
        <f>$V$94*$AE94</f>
        <v>1.3441867797135919E-2</v>
      </c>
      <c r="AH94" s="26">
        <f>$AC$94*$AE94</f>
        <v>1.7047692582445335E-2</v>
      </c>
      <c r="AI94" s="17" t="s">
        <v>78</v>
      </c>
    </row>
    <row r="95" spans="1:43" s="2" customFormat="1" ht="16.899999999999999" customHeight="1" outlineLevel="1" x14ac:dyDescent="0.3">
      <c r="A95" s="247"/>
      <c r="B95" s="17" t="s">
        <v>4</v>
      </c>
      <c r="C95" s="17"/>
      <c r="D95" s="254"/>
      <c r="E95" s="255"/>
      <c r="F95" s="255"/>
      <c r="G95" s="255"/>
      <c r="H95" s="255"/>
      <c r="I95" s="256"/>
      <c r="J95" s="24">
        <f t="shared" si="104"/>
        <v>0</v>
      </c>
      <c r="K95" s="24">
        <f t="shared" ref="K95" si="116">K$13*IF(K23&gt;=65,(K23-65)/110,0)</f>
        <v>0</v>
      </c>
      <c r="L95" s="24">
        <f t="shared" si="104"/>
        <v>0</v>
      </c>
      <c r="M95" s="24">
        <f t="shared" si="104"/>
        <v>0</v>
      </c>
      <c r="N95" s="24">
        <f t="shared" si="104"/>
        <v>0</v>
      </c>
      <c r="O95" s="24">
        <f>SUM(J95:N95)</f>
        <v>0</v>
      </c>
      <c r="P95" s="4"/>
      <c r="Q95" s="86">
        <f t="shared" si="106"/>
        <v>0</v>
      </c>
      <c r="R95" s="86">
        <f t="shared" ref="R95" si="117">R$13*IF(R23&gt;=65,(R23-65)/110,0)</f>
        <v>0</v>
      </c>
      <c r="S95" s="86">
        <f t="shared" si="106"/>
        <v>0</v>
      </c>
      <c r="T95" s="86">
        <f t="shared" si="106"/>
        <v>0</v>
      </c>
      <c r="U95" s="86">
        <f t="shared" si="106"/>
        <v>0</v>
      </c>
      <c r="V95" s="86">
        <f>SUM(Q95:U95)</f>
        <v>0</v>
      </c>
      <c r="W95" s="4"/>
      <c r="X95" s="86">
        <f t="shared" si="108"/>
        <v>0</v>
      </c>
      <c r="Y95" s="86">
        <f t="shared" ref="Y95" si="118">Y$13*IF(Y23&gt;=65,(Y23-65)/110,0)</f>
        <v>0</v>
      </c>
      <c r="Z95" s="86">
        <f t="shared" si="108"/>
        <v>0</v>
      </c>
      <c r="AA95" s="86">
        <f t="shared" si="108"/>
        <v>0</v>
      </c>
      <c r="AB95" s="86">
        <f t="shared" si="108"/>
        <v>0</v>
      </c>
      <c r="AC95" s="86">
        <f>SUM(X95:AB95)</f>
        <v>0</v>
      </c>
      <c r="AD95" s="4"/>
      <c r="AE95" s="46"/>
      <c r="AF95" s="26"/>
      <c r="AG95" s="26"/>
      <c r="AH95" s="26"/>
      <c r="AI95" s="17"/>
      <c r="AP95" s="57"/>
      <c r="AQ95" s="57"/>
    </row>
    <row r="96" spans="1:43" ht="16.5" outlineLevel="1" x14ac:dyDescent="0.3">
      <c r="A96" s="257" t="str">
        <f>IF($O$1="de","D5: Weichenschädigung",
IF($O$1="fr","D5: dégât aux aiguilles",
IF($O$1="it","D5: danneggiamento degli scambi",
IF($O$1="en","D5: Points damage","select language in cell N1"))))</f>
        <v>D5: Weichenschädigung</v>
      </c>
      <c r="B96" s="258"/>
      <c r="C96" s="258"/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9"/>
      <c r="O96" s="54" t="str">
        <f>IF($O$1="de","Summe",
IF($O$1="fr","Somme",
IF($O$1="it","Somma",
IF($O$1="en","Sum","select language in cell N1"))))</f>
        <v>Summe</v>
      </c>
      <c r="P96" s="4"/>
      <c r="Q96" s="81"/>
      <c r="R96" s="81"/>
      <c r="S96" s="81"/>
      <c r="T96" s="81"/>
      <c r="U96" s="81"/>
      <c r="V96" s="81" t="str">
        <f>O96</f>
        <v>Summe</v>
      </c>
      <c r="W96" s="4"/>
      <c r="X96" s="81"/>
      <c r="Y96" s="81"/>
      <c r="Z96" s="81"/>
      <c r="AA96" s="81"/>
      <c r="AB96" s="81"/>
      <c r="AC96" s="81" t="str">
        <f>V96</f>
        <v>Summe</v>
      </c>
      <c r="AD96" s="4"/>
      <c r="AE96" s="48"/>
      <c r="AF96" s="28"/>
      <c r="AG96" s="28"/>
      <c r="AH96" s="28"/>
      <c r="AI96" s="25"/>
    </row>
    <row r="97" spans="1:41" ht="13.5" outlineLevel="1" x14ac:dyDescent="0.25">
      <c r="A97" s="39" t="str">
        <f>IF($O$1="de","Schädigungspotential D5 der führenden Radsätze in Weichen",
IF($O$1="fr","Dégât potentiel D5 des essieux avant sur les aiguilles",
IF($O$1="it","Potenziale di danneggiamento D5 delle sale montate di guida sugli scambi",
IF($O$1="en","Damage potential D5 of leading wheelsets on points","select language in cell N1"))))</f>
        <v>Schädigungspotential D5 der führenden Radsätze in Weichen</v>
      </c>
      <c r="B97" s="40" t="s">
        <v>0</v>
      </c>
      <c r="C97" s="40"/>
      <c r="D97" s="260" t="s">
        <v>149</v>
      </c>
      <c r="E97" s="261"/>
      <c r="F97" s="261"/>
      <c r="G97" s="261"/>
      <c r="H97" s="261"/>
      <c r="I97" s="262"/>
      <c r="J97" s="41">
        <f>IF(J24&lt;&gt;0,J$13*SQRT(0.5*J$49^2+0.5*J$24^2),0)</f>
        <v>172.04027041155214</v>
      </c>
      <c r="K97" s="41">
        <f>IF(K24&lt;&gt;0,K$13*SQRT(0.5*K$49^2+0.5*K$24^2),0)</f>
        <v>110.54356298680149</v>
      </c>
      <c r="L97" s="41">
        <f>IF(L24&lt;&gt;0,L$13*SQRT(0.5*L$49^2+0.5*L$24^2),0)</f>
        <v>0</v>
      </c>
      <c r="M97" s="41">
        <f>IF(M24&lt;&gt;0,M$13*SQRT(0.5*M$49^2+0.5*M$24^2),0)</f>
        <v>0</v>
      </c>
      <c r="N97" s="41">
        <f>IF(N24&lt;&gt;0,N$13*SQRT(0.5*N$49^2+0.5*N$24^2),0)</f>
        <v>0</v>
      </c>
      <c r="O97" s="41">
        <f>SUM(J97:N97)</f>
        <v>282.58383339835365</v>
      </c>
      <c r="P97" s="4"/>
      <c r="Q97" s="87">
        <f>IF(Q24&lt;&gt;0,Q$13*SQRT(0.5*Q$49^2+0.5*Q$24^2),0)</f>
        <v>165.42730044355804</v>
      </c>
      <c r="R97" s="87">
        <f>IF(R24&lt;&gt;0,R$13*SQRT(0.5*R$49^2+0.5*R$24^2),0)</f>
        <v>107.30199867903653</v>
      </c>
      <c r="S97" s="87">
        <f>IF(S24&lt;&gt;0,S$13*SQRT(0.5*S$49^2+0.5*S$24^2),0)</f>
        <v>0</v>
      </c>
      <c r="T97" s="87">
        <f>IF(T24&lt;&gt;0,T$13*SQRT(0.5*T$49^2+0.5*T$24^2),0)</f>
        <v>0</v>
      </c>
      <c r="U97" s="87">
        <f>IF(U24&lt;&gt;0,U$13*SQRT(0.5*U$49^2+0.5*U$24^2),0)</f>
        <v>0</v>
      </c>
      <c r="V97" s="87">
        <f>SUM(Q97:U97)</f>
        <v>272.72929912259457</v>
      </c>
      <c r="W97" s="4"/>
      <c r="X97" s="87">
        <f>IF(X24&lt;&gt;0,X$13*SQRT(0.5*X$49^2+0.5*X$24^2),0)</f>
        <v>178.62441844022118</v>
      </c>
      <c r="Y97" s="87">
        <f>IF(Y24&lt;&gt;0,Y$13*SQRT(0.5*Y$49^2+0.5*Y$24^2),0)</f>
        <v>113.76139542745887</v>
      </c>
      <c r="Z97" s="87">
        <f>IF(Z24&lt;&gt;0,Z$13*SQRT(0.5*Z$49^2+0.5*Z$24^2),0)</f>
        <v>0</v>
      </c>
      <c r="AA97" s="87">
        <f>IF(AA24&lt;&gt;0,AA$13*SQRT(0.5*AA$49^2+0.5*AA$24^2),0)</f>
        <v>0</v>
      </c>
      <c r="AB97" s="87">
        <f>IF(AB24&lt;&gt;0,AB$13*SQRT(0.5*AB$49^2+0.5*AB$24^2),0)</f>
        <v>0</v>
      </c>
      <c r="AC97" s="87">
        <f>SUM(X97:AB97)</f>
        <v>292.38581386768004</v>
      </c>
      <c r="AD97" s="4"/>
      <c r="AE97" s="46">
        <v>2.3451886875707192E-4</v>
      </c>
      <c r="AF97" s="26">
        <f>$O$97*$AE97</f>
        <v>6.6271240937618769E-2</v>
      </c>
      <c r="AG97" s="26">
        <f>$V$97*$AE97</f>
        <v>6.396016670713997E-2</v>
      </c>
      <c r="AH97" s="26">
        <f>$AC$97*$AE97</f>
        <v>6.8569990308864112E-2</v>
      </c>
      <c r="AI97" s="17" t="s">
        <v>81</v>
      </c>
    </row>
    <row r="98" spans="1:41" outlineLevel="1" x14ac:dyDescent="0.2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</row>
    <row r="99" spans="1:41" s="38" customFormat="1" outlineLevel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7"/>
      <c r="AK99" s="57"/>
      <c r="AL99" s="57"/>
      <c r="AM99" s="57"/>
      <c r="AN99" s="57"/>
      <c r="AO99" s="57"/>
    </row>
    <row r="100" spans="1:41" x14ac:dyDescent="0.2">
      <c r="A100" s="1"/>
    </row>
    <row r="101" spans="1:41" ht="18" x14ac:dyDescent="0.25">
      <c r="A101" s="177" t="str">
        <f>IF($O$1="de","Berechnung der Fahrzeugbezugskosten",
IF($O$1="fr","Calcul des coûts de référence du véhicule",
IF($O$1="it","Calcolo dei costi di riferimento del veicolo",
IF($O$1="en","Calculation of vehicle reference costs","select language in cell N1"))))</f>
        <v>Berechnung der Fahrzeugbezugskosten</v>
      </c>
      <c r="B101" s="178"/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</row>
    <row r="102" spans="1:41" ht="22.5" x14ac:dyDescent="0.2">
      <c r="A102" s="58"/>
      <c r="B102" s="58"/>
      <c r="C102" s="58"/>
      <c r="D102" s="125" t="str">
        <f>IF($O$1="de","Summanden",
IF($O$1="fr","termes de l'addition",
IF($O$1="it","addendi",
IF($O$1="en","summands","select language in cell N1"))))</f>
        <v>Summanden</v>
      </c>
      <c r="E102" s="126"/>
      <c r="F102" s="126"/>
      <c r="G102" s="126"/>
      <c r="H102" s="126"/>
      <c r="I102" s="126"/>
      <c r="J102" s="181" t="str">
        <f>IF($O$1="de","nominell",
IF($O$1="fr","nominal",
IF($O$1="it","nominale",
IF($O$1="en","nominal","select language in cell N1"))))</f>
        <v>nominell</v>
      </c>
      <c r="K102" s="182"/>
      <c r="L102" s="182" t="str">
        <f>IF($O$1="de","untere Grenze",
IF($O$1="fr","limite inférieure",
IF($O$1="it","limite inferiore",
IF($O$1="en","lower limit","select language in cell N1"))))</f>
        <v>untere Grenze</v>
      </c>
      <c r="M102" s="213" t="str">
        <f>IF($O$1="de","obere Grenze",
IF($O$1="fr","limite supérieure",
IF($O$1="it","limite superiore",
IF($O$1="en","upper limit","select language in cell N1"))))</f>
        <v>obere Grenze</v>
      </c>
      <c r="N102" s="216" t="str">
        <f>IF($O$1="de","50% obere Grenze",
IF($O$1="fr","50% de la limite supérieure",
IF($O$1="it","50% limite superiore",
IF($O$1="en","50% upper limit","select language in cell N1"))))</f>
        <v>50% obere Grenze</v>
      </c>
      <c r="O102" s="193" t="str">
        <f>IF($O$1="de","definitiv",
IF($O$1="fr","définitif",
IF($O$1="it","definitivo",
IF($O$1="en","definitive","select language in cell N1"))))</f>
        <v>definitiv</v>
      </c>
    </row>
    <row r="103" spans="1:41" ht="16.5" thickBot="1" x14ac:dyDescent="0.35">
      <c r="A103" s="149" t="s">
        <v>144</v>
      </c>
      <c r="B103" s="149" t="s">
        <v>193</v>
      </c>
      <c r="C103" s="152" t="s">
        <v>163</v>
      </c>
      <c r="D103" s="42"/>
      <c r="E103" s="42"/>
      <c r="F103" s="42" t="s">
        <v>73</v>
      </c>
      <c r="G103" s="42"/>
      <c r="H103" s="42"/>
      <c r="I103" s="42"/>
      <c r="J103" s="128">
        <f>ROUND(AF84,7)</f>
        <v>7.4882999999999998E-3</v>
      </c>
      <c r="K103" s="179"/>
      <c r="L103" s="179"/>
      <c r="M103" s="214"/>
      <c r="N103" s="183"/>
      <c r="O103" s="189">
        <f>J103</f>
        <v>7.4882999999999998E-3</v>
      </c>
    </row>
    <row r="104" spans="1:41" ht="14.25" x14ac:dyDescent="0.25">
      <c r="A104" s="150" t="s">
        <v>44</v>
      </c>
      <c r="B104" s="150" t="s">
        <v>171</v>
      </c>
      <c r="C104" s="153" t="s">
        <v>163</v>
      </c>
      <c r="D104" s="18" t="s">
        <v>121</v>
      </c>
      <c r="E104" s="18" t="s">
        <v>122</v>
      </c>
      <c r="F104" s="18" t="s">
        <v>73</v>
      </c>
      <c r="G104" s="18"/>
      <c r="H104" s="18"/>
      <c r="I104" s="18" t="s">
        <v>81</v>
      </c>
      <c r="J104" s="52">
        <f>IF($J$8&gt;0,ROUND(AF66+AF77+AF$84+AF$97,7),"")</f>
        <v>9.4349500000000003E-2</v>
      </c>
      <c r="K104" s="179"/>
      <c r="L104" s="179">
        <f>IF($J$8&gt;0,ROUND(AG66+AG77+AG$84+AG$97,7),"")</f>
        <v>9.0379200000000007E-2</v>
      </c>
      <c r="M104" s="214">
        <f>IF($J$8&gt;0,ROUND(AH66+AH77+AH$84+AH$97,7),"")</f>
        <v>9.8390000000000005E-2</v>
      </c>
      <c r="N104" s="183">
        <f>IF($J$8&gt;0,J104+0.5*(M104-J104),"")</f>
        <v>9.6369750000000004E-2</v>
      </c>
      <c r="O104" s="190">
        <f>IF(ISERROR(INDEX(Check_Example!$E$8:$E$4828,MATCH("ü",Check_Example!$O$8:$O$4828,0))),J104,INDEX(Check_Example!$E$8:$E$4828,MATCH("ü",Check_Example!$O$8:$O$4828,0)))</f>
        <v>9.3137899999999996E-2</v>
      </c>
    </row>
    <row r="105" spans="1:41" ht="14.25" x14ac:dyDescent="0.25">
      <c r="A105" s="150" t="s">
        <v>45</v>
      </c>
      <c r="B105" s="150" t="s">
        <v>172</v>
      </c>
      <c r="C105" s="153" t="s">
        <v>163</v>
      </c>
      <c r="D105" s="18" t="s">
        <v>123</v>
      </c>
      <c r="E105" s="18" t="s">
        <v>124</v>
      </c>
      <c r="F105" s="18" t="s">
        <v>73</v>
      </c>
      <c r="G105" s="18"/>
      <c r="H105" s="18"/>
      <c r="I105" s="18" t="s">
        <v>81</v>
      </c>
      <c r="J105" s="52">
        <f>IF($J$8&gt;80,ROUND(AF67+AF78+AF$84+AF$97,7),"")</f>
        <v>9.9417900000000003E-2</v>
      </c>
      <c r="K105" s="179"/>
      <c r="L105" s="179">
        <f>IF($J$8&gt;80,ROUND(AG67+AG78+AG$84+AG$97,7),"")</f>
        <v>9.4877299999999998E-2</v>
      </c>
      <c r="M105" s="214">
        <f>IF($J$8&gt;80,ROUND(AH67+AH78+AH$84+AH$97,7),"")</f>
        <v>0.1040592</v>
      </c>
      <c r="N105" s="183">
        <f>IF($J$8&gt;80,J105+0.5*(M105-J105),"")</f>
        <v>0.10173855000000001</v>
      </c>
      <c r="O105" s="190">
        <f>IF(ISERROR(INDEX(Check_Example!$F$8:$F$4828,MATCH("ü",Check_Example!$O$8:$O$4828,0))),J105,INDEX(Check_Example!$F$8:$F$4828,MATCH("ü",Check_Example!$O$8:$O$4828,0)))</f>
        <v>9.7910700000000003E-2</v>
      </c>
    </row>
    <row r="106" spans="1:41" ht="14.25" x14ac:dyDescent="0.25">
      <c r="A106" s="150" t="s">
        <v>46</v>
      </c>
      <c r="B106" s="150" t="s">
        <v>173</v>
      </c>
      <c r="C106" s="153" t="s">
        <v>163</v>
      </c>
      <c r="D106" s="18" t="s">
        <v>125</v>
      </c>
      <c r="E106" s="18" t="s">
        <v>126</v>
      </c>
      <c r="F106" s="18" t="s">
        <v>73</v>
      </c>
      <c r="G106" s="18"/>
      <c r="H106" s="18"/>
      <c r="I106" s="18" t="s">
        <v>81</v>
      </c>
      <c r="J106" s="52">
        <f>IF($J$8&gt;100,ROUND(AF68+AF79+AF$84+AF$97,7),"")</f>
        <v>0.10746749999999999</v>
      </c>
      <c r="K106" s="179"/>
      <c r="L106" s="179">
        <f>IF($J$8&gt;100,ROUND(AG68+AG79+AG$84+AG$97,7),"")</f>
        <v>0.1019921</v>
      </c>
      <c r="M106" s="214">
        <f>IF($J$8&gt;100,ROUND(AH68+AH79+AH$84+AH$97,7),"")</f>
        <v>0.1130954</v>
      </c>
      <c r="N106" s="183">
        <f>IF($J$8&gt;100,J106+0.5*(M106-J106),"")</f>
        <v>0.11028145</v>
      </c>
      <c r="O106" s="190">
        <f>IF(ISERROR(INDEX(Check_Example!$G$8:$G$4828,MATCH("ü",Check_Example!$O$8:$O$4828,0))),J106,INDEX(Check_Example!$G$8:$G$4828,MATCH("ü",Check_Example!$O$8:$O$4828,0)))</f>
        <v>0.10546410000000001</v>
      </c>
    </row>
    <row r="107" spans="1:41" ht="14.25" x14ac:dyDescent="0.25">
      <c r="A107" s="150" t="s">
        <v>47</v>
      </c>
      <c r="B107" s="150" t="s">
        <v>174</v>
      </c>
      <c r="C107" s="153" t="s">
        <v>163</v>
      </c>
      <c r="D107" s="18" t="s">
        <v>127</v>
      </c>
      <c r="E107" s="18" t="s">
        <v>128</v>
      </c>
      <c r="F107" s="18" t="s">
        <v>73</v>
      </c>
      <c r="G107" s="18"/>
      <c r="H107" s="18"/>
      <c r="I107" s="18" t="s">
        <v>81</v>
      </c>
      <c r="J107" s="52">
        <f>IF($J$8&gt;120,ROUND(AF69+AF80+AF$84+AF$97,7),"")</f>
        <v>0.1171442</v>
      </c>
      <c r="K107" s="179"/>
      <c r="L107" s="179">
        <f>IF($J$8&gt;120,ROUND(AG69+AG80+AG$84+AG$97,7),"")</f>
        <v>0.11051270000000001</v>
      </c>
      <c r="M107" s="214">
        <f>IF($J$8&gt;120,ROUND(AH69+AH80+AH$84+AH$97,7),"")</f>
        <v>0.1239948</v>
      </c>
      <c r="N107" s="183">
        <f>IF($J$8&gt;120,J107+0.5*(M107-J107),"")</f>
        <v>0.1205695</v>
      </c>
      <c r="O107" s="190">
        <f>IF(ISERROR(INDEX(Check_Example!$H$8:$H$4828,MATCH("ü",Check_Example!$O$8:$O$4828,0))),J107,INDEX(Check_Example!$H$8:$H$4828,MATCH("ü",Check_Example!$O$8:$O$4828,0)))</f>
        <v>0.114514</v>
      </c>
    </row>
    <row r="108" spans="1:41" ht="14.25" x14ac:dyDescent="0.25">
      <c r="A108" s="150" t="s">
        <v>48</v>
      </c>
      <c r="B108" s="150" t="s">
        <v>175</v>
      </c>
      <c r="C108" s="153" t="s">
        <v>163</v>
      </c>
      <c r="D108" s="18" t="s">
        <v>129</v>
      </c>
      <c r="E108" s="18" t="s">
        <v>130</v>
      </c>
      <c r="F108" s="18" t="s">
        <v>73</v>
      </c>
      <c r="G108" s="18"/>
      <c r="H108" s="18"/>
      <c r="I108" s="18" t="s">
        <v>81</v>
      </c>
      <c r="J108" s="52" t="str">
        <f>IF($J$8&gt;140,ROUND(AF70+AF81+AF$84+AF$97,7),"")</f>
        <v/>
      </c>
      <c r="K108" s="179"/>
      <c r="L108" s="179" t="str">
        <f>IF($J$8&gt;140,ROUND(AG70+AG81+AG$84+AG$97,7),"")</f>
        <v/>
      </c>
      <c r="M108" s="214" t="str">
        <f>IF($J$8&gt;140,ROUND(AH70+AH81+AH$84+AH$97,7),"")</f>
        <v/>
      </c>
      <c r="N108" s="183" t="str">
        <f>IF($J$8&gt;140,J108+0.5*(M108-J108),"")</f>
        <v/>
      </c>
      <c r="O108" s="190" t="str">
        <f>IF(ISERROR(INDEX(Check_Example!$I$8:$I$4828,MATCH("ü",Check_Example!$O$8:$O$4828,0))),J108,INDEX(Check_Example!$I$8:$I$4828,MATCH("ü",Check_Example!$O$8:$O$4828,0)))</f>
        <v/>
      </c>
    </row>
    <row r="109" spans="1:41" ht="15" thickBot="1" x14ac:dyDescent="0.3">
      <c r="A109" s="151" t="s">
        <v>93</v>
      </c>
      <c r="B109" s="151" t="s">
        <v>176</v>
      </c>
      <c r="C109" s="152" t="s">
        <v>163</v>
      </c>
      <c r="D109" s="42" t="s">
        <v>131</v>
      </c>
      <c r="E109" s="42" t="s">
        <v>132</v>
      </c>
      <c r="F109" s="42" t="s">
        <v>73</v>
      </c>
      <c r="G109" s="42"/>
      <c r="H109" s="42"/>
      <c r="I109" s="42" t="s">
        <v>81</v>
      </c>
      <c r="J109" s="52" t="str">
        <f>IF($J$8&gt;160,ROUND(AF71+AF82+AF$84+AF$97,7),"")</f>
        <v/>
      </c>
      <c r="K109" s="179"/>
      <c r="L109" s="179" t="str">
        <f>IF($J$8&gt;160,ROUND(AG71+AG82+AG$84+AG$97,7),"")</f>
        <v/>
      </c>
      <c r="M109" s="214" t="str">
        <f>IF($J$8&gt;160,ROUND(AH71+AH82+AH$84+AH$97,7),"")</f>
        <v/>
      </c>
      <c r="N109" s="183" t="str">
        <f>IF($J$8&gt;160,J109+0.5*(M109-J109),"")</f>
        <v/>
      </c>
      <c r="O109" s="190" t="str">
        <f>IF(ISERROR(INDEX(Check_Example!$J$8:$J$4828,MATCH("ü",Check_Example!$O$8:$O$4828,0))),J109,INDEX(Check_Example!$J$8:$J$4828,MATCH("ü",Check_Example!$O$8:$O$4828,0)))</f>
        <v/>
      </c>
    </row>
    <row r="110" spans="1:41" ht="14.25" x14ac:dyDescent="0.25">
      <c r="A110" s="150" t="s">
        <v>52</v>
      </c>
      <c r="B110" s="150" t="s">
        <v>166</v>
      </c>
      <c r="C110" s="153" t="s">
        <v>163</v>
      </c>
      <c r="D110" s="18" t="s">
        <v>141</v>
      </c>
      <c r="E110" s="18"/>
      <c r="F110" s="18"/>
      <c r="G110" s="18" t="s">
        <v>142</v>
      </c>
      <c r="H110" s="18" t="s">
        <v>143</v>
      </c>
      <c r="I110" s="18" t="s">
        <v>81</v>
      </c>
      <c r="J110" s="53">
        <f t="shared" ref="J110:J113" si="119">ROUND(AF72+AF87+AF92+AF$97,7)</f>
        <v>0.55112309999999998</v>
      </c>
      <c r="K110" s="180"/>
      <c r="L110" s="180">
        <f>IF(ROUND(AG72+AG87+AG92+AG$97,7)&lt;J110,ROUND(AG72+AG87+AG92+AG$97,7),J110)</f>
        <v>0.52435180000000003</v>
      </c>
      <c r="M110" s="215">
        <f>IF(ROUND(AH72+AH87+AH92+AH$97,7)&gt;J110,ROUND(AH72+AH87+AH92+AH$97,7),J110)</f>
        <v>0.57903179999999999</v>
      </c>
      <c r="N110" s="183">
        <f>J110+0.5*(M110-J110)</f>
        <v>0.56507744999999998</v>
      </c>
      <c r="O110" s="191">
        <f>IF(ISERROR(INDEX(Check_Example!$K$8:$K$4828,MATCH("ü",Check_Example!$O$8:$O$4828,0))),J110,INDEX(Check_Example!$K$8:$K$4828,MATCH("ü",Check_Example!$O$8:$O$4828,0)))</f>
        <v>0.54198299999999999</v>
      </c>
    </row>
    <row r="111" spans="1:41" ht="14.25" x14ac:dyDescent="0.25">
      <c r="A111" s="150" t="s">
        <v>51</v>
      </c>
      <c r="B111" s="150" t="s">
        <v>165</v>
      </c>
      <c r="C111" s="153" t="s">
        <v>163</v>
      </c>
      <c r="D111" s="18" t="s">
        <v>138</v>
      </c>
      <c r="E111" s="18"/>
      <c r="F111" s="18"/>
      <c r="G111" s="18" t="s">
        <v>139</v>
      </c>
      <c r="H111" s="18" t="s">
        <v>140</v>
      </c>
      <c r="I111" s="18" t="s">
        <v>81</v>
      </c>
      <c r="J111" s="53">
        <f t="shared" si="119"/>
        <v>0.19663410000000001</v>
      </c>
      <c r="K111" s="180"/>
      <c r="L111" s="180">
        <f>IF(ROUND(AG73+AG88+AG93+AG$97,7)&lt;J111,ROUND(AG73+AG88+AG93+AG$97,7),J111)</f>
        <v>0.18467140000000001</v>
      </c>
      <c r="M111" s="215">
        <f t="shared" ref="M111:M113" si="120">IF(ROUND(AH73+AH88+AH93+AH$97,7)&gt;J111,ROUND(AH73+AH88+AH93+AH$97,7),J111)</f>
        <v>0.20939459999999999</v>
      </c>
      <c r="N111" s="183">
        <f t="shared" ref="N111:N113" si="121">J111+0.5*(M111-J111)</f>
        <v>0.20301435000000001</v>
      </c>
      <c r="O111" s="191">
        <f>IF(ISERROR(INDEX(Check_Example!$L$8:$L$4828,MATCH("ü",Check_Example!$O$8:$O$4828,0))),J111,INDEX(Check_Example!$L$8:$L$4828,MATCH("ü",Check_Example!$O$8:$O$4828,0)))</f>
        <v>0.19343579999999999</v>
      </c>
    </row>
    <row r="112" spans="1:41" ht="14.25" x14ac:dyDescent="0.25">
      <c r="A112" s="150" t="s">
        <v>50</v>
      </c>
      <c r="B112" s="150" t="s">
        <v>164</v>
      </c>
      <c r="C112" s="153" t="s">
        <v>163</v>
      </c>
      <c r="D112" s="18" t="s">
        <v>135</v>
      </c>
      <c r="E112" s="18"/>
      <c r="F112" s="18"/>
      <c r="G112" s="18" t="s">
        <v>136</v>
      </c>
      <c r="H112" s="18" t="s">
        <v>137</v>
      </c>
      <c r="I112" s="18" t="s">
        <v>81</v>
      </c>
      <c r="J112" s="53">
        <f t="shared" si="119"/>
        <v>0.15736800000000001</v>
      </c>
      <c r="K112" s="180"/>
      <c r="L112" s="180">
        <f>IF(ROUND(AG74+AG89+AG94+AG$97,7)&lt;J112,ROUND(AG74+AG89+AG94+AG$97,7),J112)</f>
        <v>0.147091</v>
      </c>
      <c r="M112" s="215">
        <f t="shared" si="120"/>
        <v>0.1679331</v>
      </c>
      <c r="N112" s="183">
        <f t="shared" si="121"/>
        <v>0.16265055</v>
      </c>
      <c r="O112" s="191">
        <f>IF(ISERROR(INDEX(Check_Example!$M$8:$M$4828,MATCH("ü",Check_Example!$O$8:$O$4828,0))),J112,INDEX(Check_Example!$M$8:$M$4828,MATCH("ü",Check_Example!$O$8:$O$4828,0)))</f>
        <v>0.1546429</v>
      </c>
    </row>
    <row r="113" spans="1:15" ht="15" thickBot="1" x14ac:dyDescent="0.3">
      <c r="A113" s="151" t="s">
        <v>49</v>
      </c>
      <c r="B113" s="151" t="s">
        <v>162</v>
      </c>
      <c r="C113" s="152" t="s">
        <v>163</v>
      </c>
      <c r="D113" s="42" t="s">
        <v>133</v>
      </c>
      <c r="E113" s="42"/>
      <c r="F113" s="42"/>
      <c r="G113" s="42" t="s">
        <v>134</v>
      </c>
      <c r="H113" s="42"/>
      <c r="I113" s="42" t="s">
        <v>81</v>
      </c>
      <c r="J113" s="52">
        <f t="shared" si="119"/>
        <v>0.12575810000000001</v>
      </c>
      <c r="K113" s="180"/>
      <c r="L113" s="180">
        <f>IF(ROUND(AG75+AG90+AG95+AG$97,7)&lt;J113,ROUND(AG75+AG90+AG95+AG$97,7),J113)</f>
        <v>0.1168522</v>
      </c>
      <c r="M113" s="215">
        <f t="shared" si="120"/>
        <v>0.1349822</v>
      </c>
      <c r="N113" s="183">
        <f t="shared" si="121"/>
        <v>0.13037015000000002</v>
      </c>
      <c r="O113" s="192">
        <f>IF(ISERROR(INDEX(Check_Example!$N$8:$N$4828,MATCH("ü",Check_Example!$O$8:$O$4828,0))),J113,INDEX(Check_Example!$N$8:$N$4828,MATCH("ü",Check_Example!$O$8:$O$4828,0)))</f>
        <v>0.12289129999999999</v>
      </c>
    </row>
    <row r="115" spans="1:15" ht="18" x14ac:dyDescent="0.25">
      <c r="A115" s="176" t="str">
        <f>IF($O$1="de","Umrechnung auf Fahrzeugpreise",
IF($O$1="fr","Conversion en prix des véhicules",
IF($O$1="it","Conversione ai prezzi dei veicoli",
IF($O$1="en","Conversion to vehicle prices","select language in cell N1"))))</f>
        <v>Umrechnung auf Fahrzeugpreise</v>
      </c>
      <c r="B115" s="175"/>
      <c r="C115" s="175"/>
      <c r="D115" s="175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</row>
    <row r="116" spans="1:15" ht="13.5" x14ac:dyDescent="0.25">
      <c r="A116" s="150" t="str">
        <f>IF($O$1="de","Skalierfaktor",
IF($O$1="fr","Facteur d'échelle",
IF($O$1="it","Fattore di scala",
IF($O$1="en","Scaling factor","select language in cell N1"))))</f>
        <v>Skalierfaktor</v>
      </c>
      <c r="B116" s="150" t="s">
        <v>161</v>
      </c>
      <c r="C116" s="35"/>
      <c r="D116" s="263"/>
      <c r="E116" s="264"/>
      <c r="F116" s="264"/>
      <c r="G116" s="264"/>
      <c r="H116" s="264"/>
      <c r="I116" s="265"/>
      <c r="J116" s="200">
        <v>2.35</v>
      </c>
      <c r="K116" s="174"/>
      <c r="L116" s="174"/>
      <c r="M116" s="174"/>
      <c r="N116" s="174"/>
      <c r="O116" s="201">
        <f>J116</f>
        <v>2.35</v>
      </c>
    </row>
    <row r="118" spans="1:15" ht="18" x14ac:dyDescent="0.25">
      <c r="A118" s="123" t="str">
        <f>IF($O$1="de","Berechnung der Fahrzeugpreise",
IF($O$1="fr","Calcul  des prix des véhicules",
IF($O$1="it","Calcolo dei prezzi dei veicoli",
IF($O$1="en","Calculation of vehicle prices","select language in cell N1"))))</f>
        <v>Berechnung der Fahrzeugpreise</v>
      </c>
      <c r="B118" s="124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</row>
    <row r="119" spans="1:15" x14ac:dyDescent="0.2">
      <c r="A119" s="58"/>
      <c r="B119" s="58"/>
      <c r="C119" s="58"/>
      <c r="D119" s="125"/>
      <c r="E119" s="126"/>
      <c r="F119" s="126"/>
      <c r="G119" s="126"/>
      <c r="H119" s="126"/>
      <c r="I119" s="126"/>
      <c r="J119" s="181" t="str">
        <f>J102</f>
        <v>nominell</v>
      </c>
      <c r="K119" s="188"/>
      <c r="L119" s="188"/>
      <c r="M119" s="188"/>
      <c r="N119" s="188"/>
      <c r="O119" s="195" t="str">
        <f>O102</f>
        <v>definitiv</v>
      </c>
    </row>
    <row r="120" spans="1:15" ht="16.5" thickBot="1" x14ac:dyDescent="0.35">
      <c r="A120" s="149" t="s">
        <v>144</v>
      </c>
      <c r="B120" s="149" t="s">
        <v>194</v>
      </c>
      <c r="C120" s="152" t="s">
        <v>163</v>
      </c>
      <c r="D120" s="233" t="s">
        <v>195</v>
      </c>
      <c r="E120" s="234"/>
      <c r="F120" s="234"/>
      <c r="G120" s="234"/>
      <c r="H120" s="234"/>
      <c r="I120" s="235"/>
      <c r="J120" s="128">
        <f>ROUND(J103*J$116,7)</f>
        <v>1.7597499999999999E-2</v>
      </c>
      <c r="K120" s="187"/>
      <c r="L120" s="187"/>
      <c r="M120" s="187"/>
      <c r="N120" s="194"/>
      <c r="O120" s="196">
        <f>IF($J$8&gt;0,ROUND(O103*O$116,7),"")</f>
        <v>1.7597499999999999E-2</v>
      </c>
    </row>
    <row r="121" spans="1:15" ht="14.25" x14ac:dyDescent="0.25">
      <c r="A121" s="150" t="s">
        <v>44</v>
      </c>
      <c r="B121" s="150" t="s">
        <v>177</v>
      </c>
      <c r="C121" s="153" t="s">
        <v>163</v>
      </c>
      <c r="D121" s="236" t="s">
        <v>183</v>
      </c>
      <c r="E121" s="237"/>
      <c r="F121" s="237"/>
      <c r="G121" s="237"/>
      <c r="H121" s="237"/>
      <c r="I121" s="238"/>
      <c r="J121" s="52">
        <f>IF($J$8&gt;0,ROUND(J104*J$116,7),"")</f>
        <v>0.22172130000000001</v>
      </c>
      <c r="K121" s="187"/>
      <c r="L121" s="187"/>
      <c r="M121" s="187"/>
      <c r="N121" s="187"/>
      <c r="O121" s="197">
        <f>IF($J$8&gt;0,ROUND(O104*O$116,7),"")</f>
        <v>0.21887409999999999</v>
      </c>
    </row>
    <row r="122" spans="1:15" ht="14.25" x14ac:dyDescent="0.25">
      <c r="A122" s="150" t="s">
        <v>45</v>
      </c>
      <c r="B122" s="150" t="s">
        <v>178</v>
      </c>
      <c r="C122" s="153" t="s">
        <v>163</v>
      </c>
      <c r="D122" s="239" t="s">
        <v>184</v>
      </c>
      <c r="E122" s="240"/>
      <c r="F122" s="240"/>
      <c r="G122" s="240"/>
      <c r="H122" s="240"/>
      <c r="I122" s="241"/>
      <c r="J122" s="52">
        <f>IF($J$8&gt;80,ROUND(J105*J$116,7),"")</f>
        <v>0.23363210000000001</v>
      </c>
      <c r="K122" s="187"/>
      <c r="L122" s="187"/>
      <c r="M122" s="187"/>
      <c r="N122" s="187"/>
      <c r="O122" s="197">
        <f>IF($J$8&gt;80,ROUND(O105*O$116,7),"")</f>
        <v>0.23009009999999999</v>
      </c>
    </row>
    <row r="123" spans="1:15" ht="14.25" x14ac:dyDescent="0.25">
      <c r="A123" s="150" t="s">
        <v>46</v>
      </c>
      <c r="B123" s="150" t="s">
        <v>179</v>
      </c>
      <c r="C123" s="153" t="s">
        <v>163</v>
      </c>
      <c r="D123" s="239" t="s">
        <v>185</v>
      </c>
      <c r="E123" s="240"/>
      <c r="F123" s="240"/>
      <c r="G123" s="240"/>
      <c r="H123" s="240"/>
      <c r="I123" s="241"/>
      <c r="J123" s="52">
        <f>IF($J$8&gt;100,ROUND(J106*J$116,7),"")</f>
        <v>0.25254860000000001</v>
      </c>
      <c r="K123" s="187"/>
      <c r="L123" s="187"/>
      <c r="M123" s="187"/>
      <c r="N123" s="187"/>
      <c r="O123" s="197">
        <f>IF($J$8&gt;100,ROUND(O106*O$116,7),"")</f>
        <v>0.24784059999999999</v>
      </c>
    </row>
    <row r="124" spans="1:15" ht="14.25" x14ac:dyDescent="0.25">
      <c r="A124" s="150" t="s">
        <v>47</v>
      </c>
      <c r="B124" s="150" t="s">
        <v>180</v>
      </c>
      <c r="C124" s="153" t="s">
        <v>163</v>
      </c>
      <c r="D124" s="239" t="s">
        <v>186</v>
      </c>
      <c r="E124" s="240"/>
      <c r="F124" s="240"/>
      <c r="G124" s="240"/>
      <c r="H124" s="240"/>
      <c r="I124" s="241"/>
      <c r="J124" s="52">
        <f>IF($J$8&gt;120,ROUND(J107*J$116,7),"")</f>
        <v>0.2752889</v>
      </c>
      <c r="K124" s="187"/>
      <c r="L124" s="187"/>
      <c r="M124" s="187"/>
      <c r="N124" s="187"/>
      <c r="O124" s="197">
        <f>IF($J$8&gt;120,ROUND(O107*O$116,7),"")</f>
        <v>0.26910790000000001</v>
      </c>
    </row>
    <row r="125" spans="1:15" ht="14.25" x14ac:dyDescent="0.25">
      <c r="A125" s="150" t="s">
        <v>48</v>
      </c>
      <c r="B125" s="150" t="s">
        <v>181</v>
      </c>
      <c r="C125" s="153" t="s">
        <v>163</v>
      </c>
      <c r="D125" s="239" t="s">
        <v>187</v>
      </c>
      <c r="E125" s="240"/>
      <c r="F125" s="240"/>
      <c r="G125" s="240"/>
      <c r="H125" s="240"/>
      <c r="I125" s="241"/>
      <c r="J125" s="52" t="str">
        <f>IF($J$8&gt;140,ROUND(J108*J$116,7),"")</f>
        <v/>
      </c>
      <c r="K125" s="187"/>
      <c r="L125" s="187"/>
      <c r="M125" s="187"/>
      <c r="N125" s="187"/>
      <c r="O125" s="197" t="str">
        <f>IF($J$8&gt;140,ROUND(O108*O$116,7),"")</f>
        <v/>
      </c>
    </row>
    <row r="126" spans="1:15" ht="15" thickBot="1" x14ac:dyDescent="0.3">
      <c r="A126" s="151" t="s">
        <v>93</v>
      </c>
      <c r="B126" s="151" t="s">
        <v>182</v>
      </c>
      <c r="C126" s="152" t="s">
        <v>163</v>
      </c>
      <c r="D126" s="233" t="s">
        <v>188</v>
      </c>
      <c r="E126" s="234"/>
      <c r="F126" s="234"/>
      <c r="G126" s="234"/>
      <c r="H126" s="234"/>
      <c r="I126" s="235"/>
      <c r="J126" s="52" t="str">
        <f>IF($J$8&gt;160,ROUND(J109*J$116,7),"")</f>
        <v/>
      </c>
      <c r="K126" s="187"/>
      <c r="L126" s="187"/>
      <c r="M126" s="187"/>
      <c r="N126" s="187"/>
      <c r="O126" s="197" t="str">
        <f>IF($J$8&gt;160,ROUND(O109*O$116,7),"")</f>
        <v/>
      </c>
    </row>
    <row r="127" spans="1:15" ht="14.25" x14ac:dyDescent="0.25">
      <c r="A127" s="150" t="s">
        <v>52</v>
      </c>
      <c r="B127" s="150" t="s">
        <v>167</v>
      </c>
      <c r="C127" s="153" t="s">
        <v>163</v>
      </c>
      <c r="D127" s="236" t="s">
        <v>189</v>
      </c>
      <c r="E127" s="237"/>
      <c r="F127" s="237"/>
      <c r="G127" s="237"/>
      <c r="H127" s="237"/>
      <c r="I127" s="238"/>
      <c r="J127" s="53">
        <f t="shared" ref="J127:J130" si="122">ROUND(J110*J$116,7)</f>
        <v>1.2951393</v>
      </c>
      <c r="K127" s="187"/>
      <c r="L127" s="187"/>
      <c r="M127" s="187"/>
      <c r="N127" s="187"/>
      <c r="O127" s="198">
        <f t="shared" ref="O127:O130" si="123">ROUND(O110*O$116,7)</f>
        <v>1.2736601000000001</v>
      </c>
    </row>
    <row r="128" spans="1:15" ht="14.25" x14ac:dyDescent="0.25">
      <c r="A128" s="150" t="s">
        <v>51</v>
      </c>
      <c r="B128" s="150" t="s">
        <v>168</v>
      </c>
      <c r="C128" s="153" t="s">
        <v>163</v>
      </c>
      <c r="D128" s="239" t="s">
        <v>190</v>
      </c>
      <c r="E128" s="240"/>
      <c r="F128" s="240"/>
      <c r="G128" s="240"/>
      <c r="H128" s="240"/>
      <c r="I128" s="241"/>
      <c r="J128" s="53">
        <f t="shared" si="122"/>
        <v>0.4620901</v>
      </c>
      <c r="K128" s="187"/>
      <c r="L128" s="187"/>
      <c r="M128" s="187"/>
      <c r="N128" s="187"/>
      <c r="O128" s="198">
        <f t="shared" si="123"/>
        <v>0.45457409999999998</v>
      </c>
    </row>
    <row r="129" spans="1:15" ht="14.25" x14ac:dyDescent="0.25">
      <c r="A129" s="150" t="s">
        <v>50</v>
      </c>
      <c r="B129" s="150" t="s">
        <v>169</v>
      </c>
      <c r="C129" s="153" t="s">
        <v>163</v>
      </c>
      <c r="D129" s="239" t="s">
        <v>191</v>
      </c>
      <c r="E129" s="240"/>
      <c r="F129" s="240"/>
      <c r="G129" s="240"/>
      <c r="H129" s="240"/>
      <c r="I129" s="241"/>
      <c r="J129" s="53">
        <f t="shared" si="122"/>
        <v>0.3698148</v>
      </c>
      <c r="K129" s="187"/>
      <c r="L129" s="187"/>
      <c r="M129" s="187"/>
      <c r="N129" s="187"/>
      <c r="O129" s="198">
        <f t="shared" si="123"/>
        <v>0.36341079999999998</v>
      </c>
    </row>
    <row r="130" spans="1:15" ht="15" thickBot="1" x14ac:dyDescent="0.3">
      <c r="A130" s="151" t="s">
        <v>49</v>
      </c>
      <c r="B130" s="151" t="s">
        <v>170</v>
      </c>
      <c r="C130" s="152" t="s">
        <v>163</v>
      </c>
      <c r="D130" s="233" t="s">
        <v>192</v>
      </c>
      <c r="E130" s="234"/>
      <c r="F130" s="234"/>
      <c r="G130" s="234"/>
      <c r="H130" s="234"/>
      <c r="I130" s="235"/>
      <c r="J130" s="52">
        <f t="shared" si="122"/>
        <v>0.2955315</v>
      </c>
      <c r="K130" s="187"/>
      <c r="L130" s="187"/>
      <c r="M130" s="187"/>
      <c r="N130" s="187"/>
      <c r="O130" s="199">
        <f t="shared" si="123"/>
        <v>0.28879460000000001</v>
      </c>
    </row>
    <row r="131" spans="1:15" x14ac:dyDescent="0.2">
      <c r="K131" s="6"/>
      <c r="L131" s="6"/>
      <c r="M131" s="6"/>
      <c r="N131" s="6"/>
    </row>
  </sheetData>
  <mergeCells count="102">
    <mergeCell ref="A1:L1"/>
    <mergeCell ref="D3:I3"/>
    <mergeCell ref="D4:I4"/>
    <mergeCell ref="J4:O4"/>
    <mergeCell ref="D7:I7"/>
    <mergeCell ref="D8:I8"/>
    <mergeCell ref="D16:I16"/>
    <mergeCell ref="D17:I17"/>
    <mergeCell ref="D18:I18"/>
    <mergeCell ref="D19:I19"/>
    <mergeCell ref="D20:I20"/>
    <mergeCell ref="D21:I21"/>
    <mergeCell ref="D9:I9"/>
    <mergeCell ref="D10:I10"/>
    <mergeCell ref="D12:I12"/>
    <mergeCell ref="D13:I13"/>
    <mergeCell ref="D14:I14"/>
    <mergeCell ref="D15:I15"/>
    <mergeCell ref="D29:I29"/>
    <mergeCell ref="D30:I30"/>
    <mergeCell ref="D31:I31"/>
    <mergeCell ref="D33:I33"/>
    <mergeCell ref="D34:I34"/>
    <mergeCell ref="D35:I35"/>
    <mergeCell ref="D22:I22"/>
    <mergeCell ref="D23:I23"/>
    <mergeCell ref="D24:I24"/>
    <mergeCell ref="D26:I26"/>
    <mergeCell ref="D27:I27"/>
    <mergeCell ref="D28:I28"/>
    <mergeCell ref="J45:N45"/>
    <mergeCell ref="Q45:U45"/>
    <mergeCell ref="X45:AB45"/>
    <mergeCell ref="D36:I36"/>
    <mergeCell ref="D37:I37"/>
    <mergeCell ref="D38:I38"/>
    <mergeCell ref="D39:I39"/>
    <mergeCell ref="D40:I40"/>
    <mergeCell ref="D41:I41"/>
    <mergeCell ref="D47:I47"/>
    <mergeCell ref="D48:I48"/>
    <mergeCell ref="D49:I49"/>
    <mergeCell ref="D50:I50"/>
    <mergeCell ref="D51:I51"/>
    <mergeCell ref="D52:I52"/>
    <mergeCell ref="D42:I42"/>
    <mergeCell ref="D43:I43"/>
    <mergeCell ref="D44:I44"/>
    <mergeCell ref="AE63:AE64"/>
    <mergeCell ref="AF63:AI64"/>
    <mergeCell ref="A64:N64"/>
    <mergeCell ref="D53:I53"/>
    <mergeCell ref="D54:I54"/>
    <mergeCell ref="D55:I55"/>
    <mergeCell ref="A56:I56"/>
    <mergeCell ref="D57:I57"/>
    <mergeCell ref="D58:I58"/>
    <mergeCell ref="A66:A71"/>
    <mergeCell ref="D66:I66"/>
    <mergeCell ref="D67:I67"/>
    <mergeCell ref="D68:I68"/>
    <mergeCell ref="D69:I69"/>
    <mergeCell ref="D70:I70"/>
    <mergeCell ref="D71:I71"/>
    <mergeCell ref="D59:I59"/>
    <mergeCell ref="D60:I60"/>
    <mergeCell ref="D61:I61"/>
    <mergeCell ref="A63:I63"/>
    <mergeCell ref="A72:A75"/>
    <mergeCell ref="D72:I72"/>
    <mergeCell ref="D73:I73"/>
    <mergeCell ref="D74:I74"/>
    <mergeCell ref="D75:I75"/>
    <mergeCell ref="A77:A82"/>
    <mergeCell ref="D77:I77"/>
    <mergeCell ref="D78:I78"/>
    <mergeCell ref="D79:I79"/>
    <mergeCell ref="D80:I80"/>
    <mergeCell ref="A91:N91"/>
    <mergeCell ref="A92:A95"/>
    <mergeCell ref="D92:I95"/>
    <mergeCell ref="A96:N96"/>
    <mergeCell ref="D97:I97"/>
    <mergeCell ref="D116:I116"/>
    <mergeCell ref="D81:I81"/>
    <mergeCell ref="D82:I82"/>
    <mergeCell ref="D84:I84"/>
    <mergeCell ref="A85:N85"/>
    <mergeCell ref="A86:N86"/>
    <mergeCell ref="A87:A90"/>
    <mergeCell ref="D87:I90"/>
    <mergeCell ref="D126:I126"/>
    <mergeCell ref="D127:I127"/>
    <mergeCell ref="D128:I128"/>
    <mergeCell ref="D129:I129"/>
    <mergeCell ref="D130:I130"/>
    <mergeCell ref="D120:I120"/>
    <mergeCell ref="D121:I121"/>
    <mergeCell ref="D122:I122"/>
    <mergeCell ref="D123:I123"/>
    <mergeCell ref="D124:I124"/>
    <mergeCell ref="D125:I125"/>
  </mergeCells>
  <conditionalFormatting sqref="A20:A23">
    <cfRule type="expression" dxfId="50" priority="40">
      <formula>$O$1="en"</formula>
    </cfRule>
    <cfRule type="expression" dxfId="49" priority="41">
      <formula>$O$1="it"</formula>
    </cfRule>
    <cfRule type="expression" dxfId="48" priority="42">
      <formula>$O$1="fr"</formula>
    </cfRule>
    <cfRule type="expression" dxfId="47" priority="43">
      <formula>$O$1="de"</formula>
    </cfRule>
  </conditionalFormatting>
  <conditionalFormatting sqref="A57:A60">
    <cfRule type="expression" dxfId="46" priority="36">
      <formula>$O$1="en"</formula>
    </cfRule>
    <cfRule type="expression" dxfId="45" priority="37">
      <formula>$O$1="it"</formula>
    </cfRule>
    <cfRule type="expression" dxfId="44" priority="38">
      <formula>$O$1="fr"</formula>
    </cfRule>
    <cfRule type="expression" dxfId="43" priority="39">
      <formula>$O$1="de"</formula>
    </cfRule>
  </conditionalFormatting>
  <conditionalFormatting sqref="A49">
    <cfRule type="expression" dxfId="42" priority="32">
      <formula>$O$1="en"</formula>
    </cfRule>
    <cfRule type="expression" dxfId="41" priority="33">
      <formula>$O$1="it"</formula>
    </cfRule>
    <cfRule type="expression" dxfId="40" priority="34">
      <formula>$O$1="fr"</formula>
    </cfRule>
    <cfRule type="expression" dxfId="39" priority="35">
      <formula>$O$1="de"</formula>
    </cfRule>
  </conditionalFormatting>
  <conditionalFormatting sqref="A50">
    <cfRule type="expression" dxfId="38" priority="28">
      <formula>$O$1="en"</formula>
    </cfRule>
    <cfRule type="expression" dxfId="37" priority="29">
      <formula>$O$1="it"</formula>
    </cfRule>
    <cfRule type="expression" dxfId="36" priority="30">
      <formula>$O$1="fr"</formula>
    </cfRule>
    <cfRule type="expression" dxfId="35" priority="31">
      <formula>$O$1="de"</formula>
    </cfRule>
  </conditionalFormatting>
  <conditionalFormatting sqref="A51">
    <cfRule type="expression" dxfId="34" priority="24">
      <formula>$O$1="en"</formula>
    </cfRule>
    <cfRule type="expression" dxfId="33" priority="25">
      <formula>$O$1="it"</formula>
    </cfRule>
    <cfRule type="expression" dxfId="32" priority="26">
      <formula>$O$1="fr"</formula>
    </cfRule>
    <cfRule type="expression" dxfId="31" priority="27">
      <formula>$O$1="de"</formula>
    </cfRule>
  </conditionalFormatting>
  <conditionalFormatting sqref="A52">
    <cfRule type="expression" dxfId="30" priority="20">
      <formula>$O$1="en"</formula>
    </cfRule>
    <cfRule type="expression" dxfId="29" priority="21">
      <formula>$O$1="it"</formula>
    </cfRule>
    <cfRule type="expression" dxfId="28" priority="22">
      <formula>$O$1="fr"</formula>
    </cfRule>
    <cfRule type="expression" dxfId="27" priority="23">
      <formula>$O$1="de"</formula>
    </cfRule>
  </conditionalFormatting>
  <conditionalFormatting sqref="A53">
    <cfRule type="expression" dxfId="26" priority="16">
      <formula>$O$1="en"</formula>
    </cfRule>
    <cfRule type="expression" dxfId="25" priority="17">
      <formula>$O$1="it"</formula>
    </cfRule>
    <cfRule type="expression" dxfId="24" priority="18">
      <formula>$O$1="fr"</formula>
    </cfRule>
    <cfRule type="expression" dxfId="23" priority="19">
      <formula>$O$1="de"</formula>
    </cfRule>
  </conditionalFormatting>
  <conditionalFormatting sqref="A54">
    <cfRule type="expression" dxfId="22" priority="12">
      <formula>$O$1="en"</formula>
    </cfRule>
    <cfRule type="expression" dxfId="21" priority="13">
      <formula>$O$1="it"</formula>
    </cfRule>
    <cfRule type="expression" dxfId="20" priority="14">
      <formula>$O$1="fr"</formula>
    </cfRule>
    <cfRule type="expression" dxfId="19" priority="15">
      <formula>$O$1="de"</formula>
    </cfRule>
  </conditionalFormatting>
  <conditionalFormatting sqref="A55">
    <cfRule type="expression" dxfId="18" priority="8">
      <formula>$O$1="en"</formula>
    </cfRule>
    <cfRule type="expression" dxfId="17" priority="9">
      <formula>$O$1="it"</formula>
    </cfRule>
    <cfRule type="expression" dxfId="16" priority="10">
      <formula>$O$1="fr"</formula>
    </cfRule>
    <cfRule type="expression" dxfId="15" priority="11">
      <formula>$O$1="de"</formula>
    </cfRule>
  </conditionalFormatting>
  <conditionalFormatting sqref="A56">
    <cfRule type="expression" dxfId="14" priority="4">
      <formula>$O$1="en"</formula>
    </cfRule>
    <cfRule type="expression" dxfId="13" priority="5">
      <formula>$O$1="it"</formula>
    </cfRule>
    <cfRule type="expression" dxfId="12" priority="6">
      <formula>$O$1="fr"</formula>
    </cfRule>
    <cfRule type="expression" dxfId="11" priority="7">
      <formula>$O$1="de"</formula>
    </cfRule>
  </conditionalFormatting>
  <conditionalFormatting sqref="L110:L113">
    <cfRule type="expression" dxfId="10" priority="3">
      <formula>ROUND(AG72+AG87+AG92+AG$97,7)&gt;J110</formula>
    </cfRule>
  </conditionalFormatting>
  <conditionalFormatting sqref="M110:M113">
    <cfRule type="expression" dxfId="9" priority="2">
      <formula>ROUND(AH72+AH87+AH92+AH$97,7)&lt;J110</formula>
    </cfRule>
  </conditionalFormatting>
  <conditionalFormatting sqref="K110:K113">
    <cfRule type="expression" dxfId="8" priority="1">
      <formula>ROUND(AF72+AF87+AF92+AF$97,7)&gt;I110</formula>
    </cfRule>
  </conditionalFormatting>
  <dataValidations count="10">
    <dataValidation type="list" allowBlank="1" showInputMessage="1" showErrorMessage="1" sqref="O1" xr:uid="{00000000-0002-0000-0000-000000000000}">
      <formula1>"de,fr,it,en"</formula1>
    </dataValidation>
    <dataValidation type="list" allowBlank="1" showInputMessage="1" showErrorMessage="1" sqref="O9" xr:uid="{008C2EE2-DF69-49DC-B44A-201C445F933F}">
      <formula1>"R,A,D,W,N"</formula1>
    </dataValidation>
    <dataValidation type="list" allowBlank="1" showInputMessage="1" showErrorMessage="1" sqref="O7" xr:uid="{043E8584-84EC-4F4C-8560-8765B8529A38}">
      <formula1>"Lok,TWg,PWg,GWg,TZ,S"</formula1>
    </dataValidation>
    <dataValidation type="list" allowBlank="1" showInputMessage="1" showErrorMessage="1" sqref="AC9 V9" xr:uid="{00000000-0002-0000-0000-000003000000}">
      <formula1>"A,R,W,N"</formula1>
    </dataValidation>
    <dataValidation type="list" allowBlank="1" showInputMessage="1" showErrorMessage="1" sqref="V26 AC26 O26" xr:uid="{00000000-0002-0000-0000-000004000000}">
      <formula1>"1%,2.5%,5%"</formula1>
    </dataValidation>
    <dataValidation type="list" allowBlank="1" showInputMessage="1" showErrorMessage="1" sqref="X27 J27:N27" xr:uid="{00000000-0002-0000-0000-000005000000}">
      <formula1>"0%,5%,8%,15%"</formula1>
    </dataValidation>
    <dataValidation type="list" allowBlank="1" showInputMessage="1" showErrorMessage="1" sqref="X29 J29:N29" xr:uid="{00000000-0002-0000-0000-000006000000}">
      <formula1>"0%,20%"</formula1>
    </dataValidation>
    <dataValidation type="list" allowBlank="1" showInputMessage="1" showErrorMessage="1" sqref="X30 J30:N30" xr:uid="{00000000-0002-0000-0000-000007000000}">
      <formula1>"20%,40%"</formula1>
    </dataValidation>
    <dataValidation type="list" allowBlank="1" showInputMessage="1" showErrorMessage="1" sqref="X31 J31:N31" xr:uid="{00000000-0002-0000-0000-000008000000}">
      <formula1>"0.00,0.05,0.10,0.20"</formula1>
    </dataValidation>
    <dataValidation type="list" allowBlank="1" showInputMessage="1" showErrorMessage="1" sqref="X28 J28:N28" xr:uid="{00000000-0002-0000-0000-000009000000}">
      <formula1>"40 kN/mm,20 kN/mm,10 kN/mm,5 kN/mm"</formula1>
    </dataValidation>
  </dataValidations>
  <pageMargins left="0.51181102362204722" right="0.51181102362204722" top="0.70866141732283472" bottom="0.39370078740157483" header="0.11811023622047245" footer="0.19685039370078741"/>
  <pageSetup paperSize="9" scale="48" orientation="portrait" r:id="rId1"/>
  <headerFooter>
    <oddFooter>&amp;L&amp;12SBB AG, I-AT-FW-FBA&amp;C&amp;12&amp;F, &amp;A&amp;R&amp;12&amp;D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:O28"/>
  <sheetViews>
    <sheetView showGridLines="0" zoomScale="85" zoomScaleNormal="85" workbookViewId="0">
      <pane ySplit="7" topLeftCell="A8" activePane="bottomLeft" state="frozen"/>
      <selection pane="bottomLeft" activeCell="A5" sqref="A5"/>
    </sheetView>
  </sheetViews>
  <sheetFormatPr baseColWidth="10" defaultColWidth="11.5703125" defaultRowHeight="12.75" x14ac:dyDescent="0.2"/>
  <cols>
    <col min="1" max="1" width="31.28515625" style="57" bestFit="1" customWidth="1"/>
    <col min="2" max="14" width="11.5703125" style="57"/>
    <col min="15" max="15" width="19.28515625" style="57" customWidth="1"/>
    <col min="16" max="16384" width="11.5703125" style="57"/>
  </cols>
  <sheetData>
    <row r="1" spans="1:15" ht="55.9" customHeight="1" x14ac:dyDescent="0.2">
      <c r="A1" s="332" t="str">
        <f>IF($N$1="de","Prüfung auf Kostenzuordnung",
IF($N$1="fr","Contrôle de l'attribution des coûts",
IF($N$1="it","Verifica dell’attribuzione dei costi",
IF($N$1="en","Check for cost allocation","select language in cell N1"))))</f>
        <v>Prüfung auf Kostenzuordnung</v>
      </c>
      <c r="B1" s="332"/>
      <c r="C1" s="332"/>
      <c r="D1" s="332"/>
      <c r="E1" s="332"/>
      <c r="F1" s="332"/>
      <c r="G1" s="135"/>
      <c r="H1" s="135"/>
      <c r="I1" s="135"/>
      <c r="J1" s="135"/>
      <c r="K1" s="135"/>
      <c r="L1" s="135"/>
      <c r="M1" s="135"/>
      <c r="N1" s="135" t="str">
        <f>Calculation_Example!O1</f>
        <v>de</v>
      </c>
      <c r="O1" s="135"/>
    </row>
    <row r="3" spans="1:15" ht="18" x14ac:dyDescent="0.25">
      <c r="E3" s="333" t="str">
        <f>IF($N$1="de","Fahrzeugbezugskosten",
IF($N$1="fr","Coûts de référence du véhicule",
IF($N$1="it","Costi di riferimento del veicolo",
IF($N$1="en","Vehicle reference costs","select language in cell N1"))))&amp;", "&amp;Calculation_Example!M1</f>
        <v>Fahrzeugbezugskosten, 2021 Vx</v>
      </c>
      <c r="F3" s="334"/>
      <c r="G3" s="334"/>
      <c r="H3" s="334"/>
      <c r="I3" s="334"/>
      <c r="J3" s="334"/>
      <c r="K3" s="334"/>
      <c r="L3" s="334"/>
      <c r="M3" s="334"/>
      <c r="N3" s="335"/>
    </row>
    <row r="4" spans="1:15" ht="25.5" x14ac:dyDescent="0.2">
      <c r="A4" s="136" t="str">
        <f>IF($N$1="de","Fahrzeug",
IF($N$1="fr","Véhicule",
IF($N$1="it","Veicolo",
IF($N$1="en","Vehicle","select language in cell N1"))))</f>
        <v>Fahrzeug</v>
      </c>
      <c r="B4" s="140" t="str">
        <f>IF($N$1="de","Fahrzeug-gattung",
IF($N$1="fr","Catégorie de véhicule",
IF($N$1="it","Categoria di veicolo",
IF($N$1="en","Vehicle category","select language in cell N1"))))</f>
        <v>Fahrzeug-gattung</v>
      </c>
      <c r="C4" s="140" t="str">
        <f>IF($N$1="de","Zugreihe",
IF($N$1="fr","Catégorie de train",
IF($N$1="it","Categoria di treno",
IF($N$1="en","Train category","select language in cell N1"))))</f>
        <v>Zugreihe</v>
      </c>
      <c r="D4" s="140" t="str">
        <f>IF($N$1="de","Anzahl Radsätze",
IF($N$1="fr","Nombre d'essieux",
IF($N$1="it","Numero di assi",
IF($N$1="en","Number of wheelsets","select language in cell N1"))))</f>
        <v>Anzahl Radsätze</v>
      </c>
      <c r="E4" s="132" t="s">
        <v>44</v>
      </c>
      <c r="F4" s="132" t="s">
        <v>45</v>
      </c>
      <c r="G4" s="132" t="s">
        <v>46</v>
      </c>
      <c r="H4" s="132" t="s">
        <v>47</v>
      </c>
      <c r="I4" s="132" t="s">
        <v>48</v>
      </c>
      <c r="J4" s="132" t="s">
        <v>93</v>
      </c>
      <c r="K4" s="132" t="s">
        <v>52</v>
      </c>
      <c r="L4" s="132" t="s">
        <v>51</v>
      </c>
      <c r="M4" s="132" t="s">
        <v>50</v>
      </c>
      <c r="N4" s="132" t="s">
        <v>49</v>
      </c>
      <c r="O4" s="140"/>
    </row>
    <row r="5" spans="1:15" x14ac:dyDescent="0.2">
      <c r="A5" s="137" t="str">
        <f>Calculation_Example!A3</f>
        <v>RABe 5xx 4/8</v>
      </c>
      <c r="B5" s="141" t="str">
        <f>Calculation_Example!O7</f>
        <v>TZ</v>
      </c>
      <c r="C5" s="141" t="str">
        <f>Calculation_Example!O9</f>
        <v>R</v>
      </c>
      <c r="D5" s="141">
        <f>Calculation_Example!O15</f>
        <v>8</v>
      </c>
      <c r="E5" s="79">
        <f>Calculation_Example!N104</f>
        <v>9.6369750000000004E-2</v>
      </c>
      <c r="F5" s="79">
        <f>Calculation_Example!N105</f>
        <v>0.10173855000000001</v>
      </c>
      <c r="G5" s="79">
        <f>Calculation_Example!N106</f>
        <v>0.11028145</v>
      </c>
      <c r="H5" s="79">
        <f>Calculation_Example!N107</f>
        <v>0.1205695</v>
      </c>
      <c r="I5" s="79" t="str">
        <f>Calculation_Example!N108</f>
        <v/>
      </c>
      <c r="J5" s="79" t="str">
        <f>Calculation_Example!N109</f>
        <v/>
      </c>
      <c r="K5" s="79">
        <f>Calculation_Example!N110</f>
        <v>0.56507744999999998</v>
      </c>
      <c r="L5" s="79">
        <f>Calculation_Example!N111</f>
        <v>0.20301435000000001</v>
      </c>
      <c r="M5" s="79">
        <f>Calculation_Example!N112</f>
        <v>0.16265055</v>
      </c>
      <c r="N5" s="79">
        <f>Calculation_Example!N113</f>
        <v>0.13037015000000002</v>
      </c>
      <c r="O5" s="184" t="str">
        <f>Calculation_Example!N102</f>
        <v>50% obere Grenze</v>
      </c>
    </row>
    <row r="6" spans="1:15" ht="13.5" thickBot="1" x14ac:dyDescent="0.25">
      <c r="A6" s="138"/>
      <c r="B6" s="142"/>
      <c r="C6" s="142"/>
      <c r="D6" s="142"/>
      <c r="E6" s="139">
        <f>Calculation_Example!L104</f>
        <v>9.0379200000000007E-2</v>
      </c>
      <c r="F6" s="139">
        <f>Calculation_Example!L105</f>
        <v>9.4877299999999998E-2</v>
      </c>
      <c r="G6" s="139">
        <f>Calculation_Example!L106</f>
        <v>0.1019921</v>
      </c>
      <c r="H6" s="139">
        <f>Calculation_Example!L107</f>
        <v>0.11051270000000001</v>
      </c>
      <c r="I6" s="139" t="str">
        <f>Calculation_Example!L108</f>
        <v/>
      </c>
      <c r="J6" s="139" t="str">
        <f>Calculation_Example!L109</f>
        <v/>
      </c>
      <c r="K6" s="139">
        <f>Calculation_Example!L110</f>
        <v>0.52435180000000003</v>
      </c>
      <c r="L6" s="139">
        <f>Calculation_Example!L111</f>
        <v>0.18467140000000001</v>
      </c>
      <c r="M6" s="139">
        <f>Calculation_Example!L112</f>
        <v>0.147091</v>
      </c>
      <c r="N6" s="139">
        <f>Calculation_Example!L113</f>
        <v>0.1168522</v>
      </c>
      <c r="O6" s="185" t="str">
        <f>Calculation_Example!L102</f>
        <v>untere Grenze</v>
      </c>
    </row>
    <row r="7" spans="1:15" ht="13.5" thickTop="1" x14ac:dyDescent="0.2">
      <c r="B7" s="131"/>
      <c r="C7" s="131"/>
      <c r="D7" s="131"/>
      <c r="O7" s="57" t="str">
        <f>IF($N$1="de","Prüfung",
IF($N$1="fr","Contrôle",
IF($N$1="it","Verifica",
IF($N$1="en","Check","select language in cell N1"))))</f>
        <v>Prüfung</v>
      </c>
    </row>
    <row r="8" spans="1:15" x14ac:dyDescent="0.2">
      <c r="A8" s="133" t="s">
        <v>226</v>
      </c>
      <c r="B8" s="143" t="s">
        <v>157</v>
      </c>
      <c r="C8" s="143" t="s">
        <v>94</v>
      </c>
      <c r="D8" s="143">
        <v>6</v>
      </c>
      <c r="E8" s="134">
        <v>0.1510871</v>
      </c>
      <c r="F8" s="134">
        <v>0.1635836</v>
      </c>
      <c r="G8" s="134">
        <v>0.18372530000000001</v>
      </c>
      <c r="H8" s="134">
        <v>0.20826059999999999</v>
      </c>
      <c r="I8" s="134"/>
      <c r="J8" s="134"/>
      <c r="K8" s="134">
        <v>1.0107505000000001</v>
      </c>
      <c r="L8" s="134">
        <v>0.39673079999999999</v>
      </c>
      <c r="M8" s="134">
        <v>0.2893</v>
      </c>
      <c r="N8" s="134">
        <v>0.2270954</v>
      </c>
      <c r="O8" s="186" t="str">
        <f t="shared" ref="O8" si="0">IF(AND(B8=B$5,C8=C$5,D8=D$5,AND(E8&lt;=E$5,E8&gt;=E$6),AND(F8&lt;=F$5,F8&gt;=F$6),AND(G8&lt;=G$5,G8&gt;=G$6),AND(H8&lt;=H$5,H8&gt;=H$6),AND(I8&lt;=I$5,I8&gt;=I$6),AND(J8&lt;=J$5,J8&gt;=J$6),AND(K8&lt;=K$5,K8&gt;=K$6),AND(L8&lt;=L$5,L8&gt;=L$6),AND(M8&lt;=M$5,M8&gt;=M$6),AND(N8&lt;=N$5,N8&gt;=N$6)),"ü","")</f>
        <v/>
      </c>
    </row>
    <row r="9" spans="1:15" x14ac:dyDescent="0.2">
      <c r="A9" s="133" t="s">
        <v>227</v>
      </c>
      <c r="B9" s="143" t="s">
        <v>157</v>
      </c>
      <c r="C9" s="143" t="s">
        <v>94</v>
      </c>
      <c r="D9" s="143">
        <v>4</v>
      </c>
      <c r="E9" s="134">
        <v>0.1464876</v>
      </c>
      <c r="F9" s="134">
        <v>0.16649920000000001</v>
      </c>
      <c r="G9" s="134">
        <v>0.19998460000000001</v>
      </c>
      <c r="H9" s="134">
        <v>0.24220030000000001</v>
      </c>
      <c r="I9" s="134"/>
      <c r="J9" s="134"/>
      <c r="K9" s="134">
        <v>1.2209357000000001</v>
      </c>
      <c r="L9" s="134">
        <v>0.45266669999999998</v>
      </c>
      <c r="M9" s="134">
        <v>0.31965789999999999</v>
      </c>
      <c r="N9" s="134">
        <v>0.25523099999999999</v>
      </c>
      <c r="O9" s="186" t="str">
        <f t="shared" ref="O9:O28" si="1">IF(AND(B9=B$5,C9=C$5,D9=D$5,AND(E9&lt;=E$5,E9&gt;=E$6),AND(F9&lt;=F$5,F9&gt;=F$6),AND(G9&lt;=G$5,G9&gt;=G$6),AND(H9&lt;=H$5,H9&gt;=H$6),AND(I9&lt;=I$5,I9&gt;=I$6),AND(J9&lt;=J$5,J9&gt;=J$6),AND(K9&lt;=K$5,K9&gt;=K$6),AND(L9&lt;=L$5,L9&gt;=L$6),AND(M9&lt;=M$5,M9&gt;=M$6),AND(N9&lt;=N$5,N9&gt;=N$6)),"ü","")</f>
        <v/>
      </c>
    </row>
    <row r="10" spans="1:15" x14ac:dyDescent="0.2">
      <c r="A10" s="133" t="s">
        <v>228</v>
      </c>
      <c r="B10" s="143" t="s">
        <v>157</v>
      </c>
      <c r="C10" s="143" t="s">
        <v>94</v>
      </c>
      <c r="D10" s="143">
        <v>4</v>
      </c>
      <c r="E10" s="134">
        <v>0.1206865</v>
      </c>
      <c r="F10" s="134">
        <v>0.12971260000000001</v>
      </c>
      <c r="G10" s="134">
        <v>0.14414660000000001</v>
      </c>
      <c r="H10" s="134">
        <v>0.16159680000000001</v>
      </c>
      <c r="I10" s="134">
        <v>0.18236279999999999</v>
      </c>
      <c r="J10" s="134">
        <v>0.2507528</v>
      </c>
      <c r="K10" s="134">
        <v>0.82546399999999998</v>
      </c>
      <c r="L10" s="134">
        <v>0.3066815</v>
      </c>
      <c r="M10" s="134">
        <v>0.20647789999999999</v>
      </c>
      <c r="N10" s="134">
        <v>0.15979969999999999</v>
      </c>
      <c r="O10" s="186" t="str">
        <f t="shared" si="1"/>
        <v/>
      </c>
    </row>
    <row r="11" spans="1:15" x14ac:dyDescent="0.2">
      <c r="A11" s="133" t="s">
        <v>229</v>
      </c>
      <c r="B11" s="143" t="s">
        <v>156</v>
      </c>
      <c r="C11" s="143" t="s">
        <v>94</v>
      </c>
      <c r="D11" s="143">
        <v>4</v>
      </c>
      <c r="E11" s="134">
        <v>5.2068200000000002E-2</v>
      </c>
      <c r="F11" s="134">
        <v>5.62905E-2</v>
      </c>
      <c r="G11" s="134">
        <v>6.3216800000000004E-2</v>
      </c>
      <c r="H11" s="134">
        <v>7.1800900000000001E-2</v>
      </c>
      <c r="I11" s="134">
        <v>8.2235100000000005E-2</v>
      </c>
      <c r="J11" s="134">
        <v>0.1176784</v>
      </c>
      <c r="K11" s="134">
        <v>0.43825140000000001</v>
      </c>
      <c r="L11" s="134">
        <v>0.16690840000000001</v>
      </c>
      <c r="M11" s="134">
        <v>0.1163389</v>
      </c>
      <c r="N11" s="134">
        <v>8.6085099999999998E-2</v>
      </c>
      <c r="O11" s="186" t="str">
        <f t="shared" si="1"/>
        <v/>
      </c>
    </row>
    <row r="12" spans="1:15" x14ac:dyDescent="0.2">
      <c r="A12" s="133" t="s">
        <v>230</v>
      </c>
      <c r="B12" s="143" t="s">
        <v>156</v>
      </c>
      <c r="C12" s="143" t="s">
        <v>94</v>
      </c>
      <c r="D12" s="143">
        <v>4</v>
      </c>
      <c r="E12" s="134">
        <v>4.7438000000000001E-2</v>
      </c>
      <c r="F12" s="134">
        <v>5.0542700000000003E-2</v>
      </c>
      <c r="G12" s="134">
        <v>5.5538299999999999E-2</v>
      </c>
      <c r="H12" s="134">
        <v>6.1619300000000002E-2</v>
      </c>
      <c r="I12" s="134"/>
      <c r="J12" s="134"/>
      <c r="K12" s="134">
        <v>0.34244859999999999</v>
      </c>
      <c r="L12" s="134">
        <v>0.13850760000000001</v>
      </c>
      <c r="M12" s="134">
        <v>9.9285700000000005E-2</v>
      </c>
      <c r="N12" s="134">
        <v>7.0563899999999999E-2</v>
      </c>
      <c r="O12" s="186" t="str">
        <f t="shared" si="1"/>
        <v/>
      </c>
    </row>
    <row r="13" spans="1:15" x14ac:dyDescent="0.2">
      <c r="A13" s="133" t="s">
        <v>231</v>
      </c>
      <c r="B13" s="143" t="s">
        <v>156</v>
      </c>
      <c r="C13" s="143" t="s">
        <v>94</v>
      </c>
      <c r="D13" s="143">
        <v>4</v>
      </c>
      <c r="E13" s="134">
        <v>5.0385899999999997E-2</v>
      </c>
      <c r="F13" s="134">
        <v>5.4358200000000002E-2</v>
      </c>
      <c r="G13" s="134">
        <v>6.0910499999999999E-2</v>
      </c>
      <c r="H13" s="134">
        <v>6.9073800000000005E-2</v>
      </c>
      <c r="I13" s="134">
        <v>7.9040399999999997E-2</v>
      </c>
      <c r="J13" s="134">
        <v>0.1131098</v>
      </c>
      <c r="K13" s="134">
        <v>0.38237539999999998</v>
      </c>
      <c r="L13" s="134">
        <v>0.14823729999999999</v>
      </c>
      <c r="M13" s="134">
        <v>0.10477939999999999</v>
      </c>
      <c r="N13" s="134">
        <v>7.8911700000000001E-2</v>
      </c>
      <c r="O13" s="186" t="str">
        <f t="shared" si="1"/>
        <v/>
      </c>
    </row>
    <row r="14" spans="1:15" x14ac:dyDescent="0.2">
      <c r="A14" s="133" t="s">
        <v>232</v>
      </c>
      <c r="B14" s="143" t="s">
        <v>159</v>
      </c>
      <c r="C14" s="143" t="s">
        <v>158</v>
      </c>
      <c r="D14" s="143">
        <v>4</v>
      </c>
      <c r="E14" s="134">
        <v>5.8155100000000001E-2</v>
      </c>
      <c r="F14" s="134">
        <v>6.1664200000000002E-2</v>
      </c>
      <c r="G14" s="134">
        <v>6.7131800000000005E-2</v>
      </c>
      <c r="H14" s="134"/>
      <c r="I14" s="134"/>
      <c r="J14" s="134"/>
      <c r="K14" s="134">
        <v>0.19602929999999999</v>
      </c>
      <c r="L14" s="134">
        <v>8.6400400000000002E-2</v>
      </c>
      <c r="M14" s="134">
        <v>7.4873499999999996E-2</v>
      </c>
      <c r="N14" s="134">
        <v>6.5979800000000005E-2</v>
      </c>
      <c r="O14" s="186" t="str">
        <f t="shared" si="1"/>
        <v/>
      </c>
    </row>
    <row r="15" spans="1:15" x14ac:dyDescent="0.2">
      <c r="A15" s="133" t="s">
        <v>233</v>
      </c>
      <c r="B15" s="143" t="s">
        <v>159</v>
      </c>
      <c r="C15" s="143" t="s">
        <v>158</v>
      </c>
      <c r="D15" s="143">
        <v>4</v>
      </c>
      <c r="E15" s="134">
        <v>7.1110199999999998E-2</v>
      </c>
      <c r="F15" s="134">
        <v>7.5455800000000003E-2</v>
      </c>
      <c r="G15" s="134">
        <v>8.2131999999999997E-2</v>
      </c>
      <c r="H15" s="134"/>
      <c r="I15" s="134"/>
      <c r="J15" s="134"/>
      <c r="K15" s="134">
        <v>0.27452209999999999</v>
      </c>
      <c r="L15" s="134">
        <v>0.11170629999999999</v>
      </c>
      <c r="M15" s="134">
        <v>9.42799E-2</v>
      </c>
      <c r="N15" s="134">
        <v>8.1452899999999995E-2</v>
      </c>
      <c r="O15" s="186" t="str">
        <f t="shared" si="1"/>
        <v/>
      </c>
    </row>
    <row r="16" spans="1:15" x14ac:dyDescent="0.2">
      <c r="A16" s="133" t="s">
        <v>234</v>
      </c>
      <c r="B16" s="143" t="s">
        <v>159</v>
      </c>
      <c r="C16" s="143" t="s">
        <v>158</v>
      </c>
      <c r="D16" s="143">
        <v>6</v>
      </c>
      <c r="E16" s="134">
        <v>3.6130900000000001E-2</v>
      </c>
      <c r="F16" s="134">
        <v>3.8322299999999997E-2</v>
      </c>
      <c r="G16" s="134">
        <v>4.1975600000000002E-2</v>
      </c>
      <c r="H16" s="134"/>
      <c r="I16" s="134"/>
      <c r="J16" s="134"/>
      <c r="K16" s="134">
        <v>0.23068569999999999</v>
      </c>
      <c r="L16" s="134">
        <v>6.1967500000000002E-2</v>
      </c>
      <c r="M16" s="134">
        <v>4.8485100000000003E-2</v>
      </c>
      <c r="N16" s="134">
        <v>3.9512699999999998E-2</v>
      </c>
      <c r="O16" s="186" t="str">
        <f t="shared" si="1"/>
        <v/>
      </c>
    </row>
    <row r="17" spans="1:15" x14ac:dyDescent="0.2">
      <c r="A17" s="133" t="s">
        <v>235</v>
      </c>
      <c r="B17" s="143" t="s">
        <v>159</v>
      </c>
      <c r="C17" s="143" t="s">
        <v>158</v>
      </c>
      <c r="D17" s="143">
        <v>8</v>
      </c>
      <c r="E17" s="134">
        <v>0.14819070000000001</v>
      </c>
      <c r="F17" s="134">
        <v>0.15688199999999999</v>
      </c>
      <c r="G17" s="134">
        <v>0.17023440000000001</v>
      </c>
      <c r="H17" s="134"/>
      <c r="I17" s="134"/>
      <c r="J17" s="134"/>
      <c r="K17" s="134">
        <v>0.82721180000000005</v>
      </c>
      <c r="L17" s="134">
        <v>0.33728190000000002</v>
      </c>
      <c r="M17" s="134">
        <v>0.25809009999999999</v>
      </c>
      <c r="N17" s="134">
        <v>0.19322510000000001</v>
      </c>
      <c r="O17" s="186" t="str">
        <f t="shared" si="1"/>
        <v/>
      </c>
    </row>
    <row r="18" spans="1:15" x14ac:dyDescent="0.2">
      <c r="A18" s="133" t="s">
        <v>236</v>
      </c>
      <c r="B18" s="143" t="s">
        <v>154</v>
      </c>
      <c r="C18" s="143" t="s">
        <v>94</v>
      </c>
      <c r="D18" s="143">
        <v>6</v>
      </c>
      <c r="E18" s="134">
        <v>6.6286800000000007E-2</v>
      </c>
      <c r="F18" s="134">
        <v>6.9403599999999996E-2</v>
      </c>
      <c r="G18" s="134">
        <v>7.4262599999999998E-2</v>
      </c>
      <c r="H18" s="134">
        <v>8.0000500000000002E-2</v>
      </c>
      <c r="I18" s="134"/>
      <c r="J18" s="134"/>
      <c r="K18" s="134">
        <v>0.41529709999999997</v>
      </c>
      <c r="L18" s="134">
        <v>0.1658172</v>
      </c>
      <c r="M18" s="134">
        <v>0.12006410000000001</v>
      </c>
      <c r="N18" s="134">
        <v>8.5156200000000001E-2</v>
      </c>
      <c r="O18" s="186" t="str">
        <f t="shared" si="1"/>
        <v/>
      </c>
    </row>
    <row r="19" spans="1:15" x14ac:dyDescent="0.2">
      <c r="A19" s="133" t="s">
        <v>237</v>
      </c>
      <c r="B19" s="143" t="s">
        <v>154</v>
      </c>
      <c r="C19" s="143" t="s">
        <v>94</v>
      </c>
      <c r="D19" s="143">
        <v>8</v>
      </c>
      <c r="E19" s="134">
        <v>9.3137899999999996E-2</v>
      </c>
      <c r="F19" s="134">
        <v>9.7910700000000003E-2</v>
      </c>
      <c r="G19" s="134">
        <v>0.10546410000000001</v>
      </c>
      <c r="H19" s="134">
        <v>0.114514</v>
      </c>
      <c r="I19" s="134" t="s">
        <v>238</v>
      </c>
      <c r="J19" s="134" t="s">
        <v>238</v>
      </c>
      <c r="K19" s="134">
        <v>0.54198299999999999</v>
      </c>
      <c r="L19" s="134">
        <v>0.19343579999999999</v>
      </c>
      <c r="M19" s="134">
        <v>0.1546429</v>
      </c>
      <c r="N19" s="134">
        <v>0.12289129999999999</v>
      </c>
      <c r="O19" s="186" t="str">
        <f t="shared" si="1"/>
        <v>ü</v>
      </c>
    </row>
    <row r="20" spans="1:15" x14ac:dyDescent="0.2">
      <c r="A20" s="133" t="s">
        <v>239</v>
      </c>
      <c r="B20" s="143" t="s">
        <v>154</v>
      </c>
      <c r="C20" s="143" t="s">
        <v>155</v>
      </c>
      <c r="D20" s="143">
        <v>28</v>
      </c>
      <c r="E20" s="134">
        <v>0.33601439999999999</v>
      </c>
      <c r="F20" s="134">
        <v>0.35572320000000002</v>
      </c>
      <c r="G20" s="134">
        <v>0.38729659999999999</v>
      </c>
      <c r="H20" s="134">
        <v>0.42557089999999997</v>
      </c>
      <c r="I20" s="134">
        <v>0.47125590000000001</v>
      </c>
      <c r="J20" s="134">
        <v>0.62255970000000005</v>
      </c>
      <c r="K20" s="134">
        <v>1.9256344000000001</v>
      </c>
      <c r="L20" s="134">
        <v>0.71063149999999997</v>
      </c>
      <c r="M20" s="134">
        <v>0.49399409999999999</v>
      </c>
      <c r="N20" s="134">
        <v>0.39401320000000001</v>
      </c>
      <c r="O20" s="186" t="str">
        <f t="shared" si="1"/>
        <v/>
      </c>
    </row>
    <row r="21" spans="1:15" x14ac:dyDescent="0.2">
      <c r="A21" s="133" t="s">
        <v>240</v>
      </c>
      <c r="B21" s="143" t="s">
        <v>154</v>
      </c>
      <c r="C21" s="143" t="s">
        <v>94</v>
      </c>
      <c r="D21" s="143">
        <v>16</v>
      </c>
      <c r="E21" s="134">
        <v>0.24257129999999999</v>
      </c>
      <c r="F21" s="134">
        <v>0.26302150000000002</v>
      </c>
      <c r="G21" s="134">
        <v>0.29628910000000003</v>
      </c>
      <c r="H21" s="134">
        <v>0.33718559999999997</v>
      </c>
      <c r="I21" s="134"/>
      <c r="J21" s="134"/>
      <c r="K21" s="134">
        <v>1.8521284</v>
      </c>
      <c r="L21" s="134">
        <v>0.71758109999999997</v>
      </c>
      <c r="M21" s="134">
        <v>0.5174221</v>
      </c>
      <c r="N21" s="134">
        <v>0.39737260000000002</v>
      </c>
      <c r="O21" s="186" t="str">
        <f t="shared" si="1"/>
        <v/>
      </c>
    </row>
    <row r="22" spans="1:15" x14ac:dyDescent="0.2">
      <c r="A22" s="133" t="s">
        <v>241</v>
      </c>
      <c r="B22" s="143" t="s">
        <v>154</v>
      </c>
      <c r="C22" s="143" t="s">
        <v>94</v>
      </c>
      <c r="D22" s="143">
        <v>8</v>
      </c>
      <c r="E22" s="134">
        <v>8.0144599999999996E-2</v>
      </c>
      <c r="F22" s="134">
        <v>8.3693100000000006E-2</v>
      </c>
      <c r="G22" s="134">
        <v>8.9330800000000002E-2</v>
      </c>
      <c r="H22" s="134">
        <v>9.6114199999999997E-2</v>
      </c>
      <c r="I22" s="134"/>
      <c r="J22" s="134"/>
      <c r="K22" s="134">
        <v>0.45226709999999998</v>
      </c>
      <c r="L22" s="134">
        <v>0.19145010000000001</v>
      </c>
      <c r="M22" s="134">
        <v>0.1422814</v>
      </c>
      <c r="N22" s="134">
        <v>0.1032014</v>
      </c>
      <c r="O22" s="186" t="str">
        <f t="shared" si="1"/>
        <v/>
      </c>
    </row>
    <row r="23" spans="1:15" x14ac:dyDescent="0.2">
      <c r="A23" s="133" t="s">
        <v>242</v>
      </c>
      <c r="B23" s="143" t="s">
        <v>154</v>
      </c>
      <c r="C23" s="143" t="s">
        <v>94</v>
      </c>
      <c r="D23" s="143">
        <v>10</v>
      </c>
      <c r="E23" s="134">
        <v>9.6446799999999999E-2</v>
      </c>
      <c r="F23" s="134">
        <v>0.1007025</v>
      </c>
      <c r="G23" s="134">
        <v>0.1074541</v>
      </c>
      <c r="H23" s="134">
        <v>0.1155673</v>
      </c>
      <c r="I23" s="134"/>
      <c r="J23" s="134"/>
      <c r="K23" s="134">
        <v>0.55811330000000003</v>
      </c>
      <c r="L23" s="134">
        <v>0.23428280000000001</v>
      </c>
      <c r="M23" s="134">
        <v>0.17321800000000001</v>
      </c>
      <c r="N23" s="134">
        <v>0.12527779999999999</v>
      </c>
      <c r="O23" s="186" t="str">
        <f t="shared" si="1"/>
        <v/>
      </c>
    </row>
    <row r="24" spans="1:15" x14ac:dyDescent="0.2">
      <c r="A24" s="133" t="s">
        <v>243</v>
      </c>
      <c r="B24" s="143" t="s">
        <v>154</v>
      </c>
      <c r="C24" s="143" t="s">
        <v>94</v>
      </c>
      <c r="D24" s="143">
        <v>24</v>
      </c>
      <c r="E24" s="134">
        <v>0.3103186</v>
      </c>
      <c r="F24" s="134">
        <v>0.33272390000000002</v>
      </c>
      <c r="G24" s="134">
        <v>0.36905100000000002</v>
      </c>
      <c r="H24" s="134">
        <v>0.41358719999999999</v>
      </c>
      <c r="I24" s="134">
        <v>0.4672441</v>
      </c>
      <c r="J24" s="134"/>
      <c r="K24" s="134">
        <v>2.1253057000000002</v>
      </c>
      <c r="L24" s="134">
        <v>0.85301150000000003</v>
      </c>
      <c r="M24" s="134">
        <v>0.60584950000000004</v>
      </c>
      <c r="N24" s="134">
        <v>0.45758579999999999</v>
      </c>
      <c r="O24" s="186" t="str">
        <f t="shared" si="1"/>
        <v/>
      </c>
    </row>
    <row r="25" spans="1:15" x14ac:dyDescent="0.2">
      <c r="A25" s="133" t="s">
        <v>244</v>
      </c>
      <c r="B25" s="143" t="s">
        <v>154</v>
      </c>
      <c r="C25" s="143" t="s">
        <v>94</v>
      </c>
      <c r="D25" s="143">
        <v>8</v>
      </c>
      <c r="E25" s="134">
        <v>8.00067E-2</v>
      </c>
      <c r="F25" s="134">
        <v>8.35925E-2</v>
      </c>
      <c r="G25" s="134">
        <v>8.9191800000000002E-2</v>
      </c>
      <c r="H25" s="134"/>
      <c r="I25" s="134"/>
      <c r="J25" s="134"/>
      <c r="K25" s="134">
        <v>0.50775859999999995</v>
      </c>
      <c r="L25" s="134">
        <v>0.2031229</v>
      </c>
      <c r="M25" s="134">
        <v>0.14632290000000001</v>
      </c>
      <c r="N25" s="134">
        <v>9.5513200000000006E-2</v>
      </c>
      <c r="O25" s="186" t="str">
        <f t="shared" si="1"/>
        <v/>
      </c>
    </row>
    <row r="26" spans="1:15" x14ac:dyDescent="0.2">
      <c r="A26" s="133" t="s">
        <v>245</v>
      </c>
      <c r="B26" s="143" t="s">
        <v>154</v>
      </c>
      <c r="C26" s="143" t="s">
        <v>94</v>
      </c>
      <c r="D26" s="143">
        <v>26</v>
      </c>
      <c r="E26" s="134">
        <v>0.4324829</v>
      </c>
      <c r="F26" s="134">
        <v>0.46539829999999999</v>
      </c>
      <c r="G26" s="134">
        <v>0.51845140000000001</v>
      </c>
      <c r="H26" s="134">
        <v>0.5831016</v>
      </c>
      <c r="I26" s="134">
        <v>0.66057440000000001</v>
      </c>
      <c r="J26" s="134">
        <v>0.91841070000000002</v>
      </c>
      <c r="K26" s="134">
        <v>5.5763297999999999</v>
      </c>
      <c r="L26" s="134">
        <v>2.1930876000000001</v>
      </c>
      <c r="M26" s="134">
        <v>1.3455836000000001</v>
      </c>
      <c r="N26" s="134">
        <v>0.67576729999999996</v>
      </c>
      <c r="O26" s="186" t="str">
        <f t="shared" si="1"/>
        <v/>
      </c>
    </row>
    <row r="27" spans="1:15" x14ac:dyDescent="0.2">
      <c r="A27" s="133" t="s">
        <v>246</v>
      </c>
      <c r="B27" s="143" t="s">
        <v>154</v>
      </c>
      <c r="C27" s="143" t="s">
        <v>94</v>
      </c>
      <c r="D27" s="143">
        <v>4</v>
      </c>
      <c r="E27" s="134">
        <v>8.8781600000000002E-2</v>
      </c>
      <c r="F27" s="134">
        <v>9.7070900000000002E-2</v>
      </c>
      <c r="G27" s="134">
        <v>0.11056390000000001</v>
      </c>
      <c r="H27" s="134">
        <v>0.1271543</v>
      </c>
      <c r="I27" s="134"/>
      <c r="J27" s="134"/>
      <c r="K27" s="134">
        <v>0.82965639999999996</v>
      </c>
      <c r="L27" s="134">
        <v>0.3280981</v>
      </c>
      <c r="M27" s="134">
        <v>0.22002070000000001</v>
      </c>
      <c r="N27" s="134">
        <v>0.12621019999999999</v>
      </c>
      <c r="O27" s="186" t="str">
        <f t="shared" si="1"/>
        <v/>
      </c>
    </row>
    <row r="28" spans="1:15" x14ac:dyDescent="0.2">
      <c r="A28" s="133" t="s">
        <v>247</v>
      </c>
      <c r="B28" s="143" t="s">
        <v>154</v>
      </c>
      <c r="C28" s="143" t="s">
        <v>94</v>
      </c>
      <c r="D28" s="143">
        <v>60</v>
      </c>
      <c r="E28" s="134">
        <v>0.89662779999999997</v>
      </c>
      <c r="F28" s="134">
        <v>0.97629529999999998</v>
      </c>
      <c r="G28" s="134">
        <v>1.1067946</v>
      </c>
      <c r="H28" s="134">
        <v>1.2682587000000001</v>
      </c>
      <c r="I28" s="134">
        <v>1.4642065</v>
      </c>
      <c r="J28" s="134">
        <v>2.1280719000000001</v>
      </c>
      <c r="K28" s="134">
        <v>7.4470751999999996</v>
      </c>
      <c r="L28" s="134">
        <v>2.9457661000000002</v>
      </c>
      <c r="M28" s="134">
        <v>2.1194967</v>
      </c>
      <c r="N28" s="134">
        <v>1.5323819999999999</v>
      </c>
      <c r="O28" s="186" t="str">
        <f t="shared" si="1"/>
        <v/>
      </c>
    </row>
  </sheetData>
  <autoFilter ref="A7:O7" xr:uid="{00000000-0009-0000-0000-000001000000}"/>
  <sortState xmlns:xlrd2="http://schemas.microsoft.com/office/spreadsheetml/2017/richdata2" ref="A9:O28">
    <sortCondition ref="A8"/>
  </sortState>
  <mergeCells count="2">
    <mergeCell ref="A1:F1"/>
    <mergeCell ref="E3:N3"/>
  </mergeCells>
  <conditionalFormatting sqref="E8:N18">
    <cfRule type="expression" dxfId="7" priority="26">
      <formula>AND(E8&lt;=E$5,E8&gt;=E$6)</formula>
    </cfRule>
  </conditionalFormatting>
  <conditionalFormatting sqref="B8:D18">
    <cfRule type="expression" dxfId="6" priority="25">
      <formula>B8=B$5</formula>
    </cfRule>
  </conditionalFormatting>
  <conditionalFormatting sqref="E19:N20">
    <cfRule type="expression" dxfId="5" priority="24">
      <formula>AND(E19&lt;=E$5,E19&gt;=E$6)</formula>
    </cfRule>
  </conditionalFormatting>
  <conditionalFormatting sqref="B19:C20">
    <cfRule type="expression" dxfId="4" priority="23">
      <formula>B19=B$5</formula>
    </cfRule>
  </conditionalFormatting>
  <conditionalFormatting sqref="D19:D20">
    <cfRule type="expression" dxfId="3" priority="22">
      <formula>D19=D$5</formula>
    </cfRule>
  </conditionalFormatting>
  <conditionalFormatting sqref="E21:N28">
    <cfRule type="expression" dxfId="2" priority="21">
      <formula>AND(E21&lt;=E$5,E21&gt;=E$6)</formula>
    </cfRule>
  </conditionalFormatting>
  <conditionalFormatting sqref="B21:D28">
    <cfRule type="expression" dxfId="1" priority="20">
      <formula>B21=B$5</formula>
    </cfRule>
  </conditionalFormatting>
  <conditionalFormatting sqref="A8:A28">
    <cfRule type="expression" dxfId="0" priority="19">
      <formula>AND(B8=B$5,C8=C$5,D8=D$5,AND(E8&lt;=E$5,E8&gt;=E$6),AND(F8&lt;=F$5,F8&gt;=F$6),AND(G8&lt;=G$5,G8&gt;=G$6),AND(H8&lt;=H$5,H8&gt;=H$6),AND(I8&lt;=I$5,I8&gt;=I$6),AND(J8&lt;=J$5,J8&gt;=J$6),AND(K8&lt;=K$5,K8&gt;=K$6),AND(L8&lt;=L$5,L8&gt;=L$6),AND(M8&lt;=M$5,M8&gt;=M$6),AND(N8&lt;=N$5,N8&gt;=N$6))</formula>
    </cfRule>
  </conditionalFormatting>
  <pageMargins left="0.70866141732283472" right="0.70866141732283472" top="0.78740157480314965" bottom="0.78740157480314965" header="0.31496062992125984" footer="0.31496062992125984"/>
  <pageSetup paperSize="9" scale="46" fitToHeight="0" orientation="portrait" r:id="rId1"/>
  <headerFooter>
    <oddFooter>&amp;LSBB AG, I-AT-FW-FBA&amp;C&amp;F, &amp;A&amp;R&amp;D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Calculation_Example</vt:lpstr>
      <vt:lpstr>Check_Example</vt:lpstr>
      <vt:lpstr>Calculation_Example!Druckbereich</vt:lpstr>
      <vt:lpstr>Calculation_Example!Drucktitel</vt:lpstr>
      <vt:lpstr>Check_Example!Drucktitel</vt:lpstr>
    </vt:vector>
  </TitlesOfParts>
  <Company>SBB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Kossmann Claudia (I-AT-FB-AMM)</dc:creator>
  <cp:lastModifiedBy>Kossmann Claudia (I-NAT-FW-SAFB)</cp:lastModifiedBy>
  <cp:lastPrinted>2016-04-07T14:53:14Z</cp:lastPrinted>
  <dcterms:created xsi:type="dcterms:W3CDTF">2015-09-03T13:34:55Z</dcterms:created>
  <dcterms:modified xsi:type="dcterms:W3CDTF">2021-11-29T09:23:48Z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-1224617182</vt:i4>
  </property>
  <property fmtid="{D5CDD505-2E9C-101B-9397-08002B2CF9AE}" pid="3" name="_NewReviewCycle">
    <vt:lpwstr/>
  </property>
  <property fmtid="{D5CDD505-2E9C-101B-9397-08002B2CF9AE}" pid="4" name="_EmailSubject">
    <vt:lpwstr>Berechnungsblatt</vt:lpwstr>
  </property>
  <property fmtid="{D5CDD505-2E9C-101B-9397-08002B2CF9AE}" pid="5" name="_AuthorEmail">
    <vt:lpwstr>ingolf.nerlich@sbb.ch</vt:lpwstr>
  </property>
  <property fmtid="{D5CDD505-2E9C-101B-9397-08002B2CF9AE}" pid="6" name="_AuthorEmailDisplayName">
    <vt:lpwstr>Nerlich Ingolf (I-AT-FB-AMM)</vt:lpwstr>
  </property>
  <property fmtid="{D5CDD505-2E9C-101B-9397-08002B2CF9AE}" pid="7" name="_PreviousAdHocReviewCycleID">
    <vt:i4>42673963</vt:i4>
  </property>
  <property fmtid="{D5CDD505-2E9C-101B-9397-08002B2CF9AE}" pid="8" name="_ReviewingToolsShownOnce">
    <vt:lpwstr/>
  </property>
</Properties>
</file>