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bb.sharepoint.com/sites/anlagenmanagement-fahrbahn/Freigegebene Dokumente/70_Projekte/TPS Basispreis Verschleiss/140_Fahrzeugpreisrechner/"/>
    </mc:Choice>
  </mc:AlternateContent>
  <xr:revisionPtr revIDLastSave="4" documentId="13_ncr:1_{ABC1E6DE-4576-405F-BB2F-24D1876FB80C}" xr6:coauthVersionLast="47" xr6:coauthVersionMax="47" xr10:uidLastSave="{C94CB731-CDB5-4FA5-A366-413562670587}"/>
  <bookViews>
    <workbookView xWindow="-120" yWindow="-120" windowWidth="29040" windowHeight="17640" xr2:uid="{00000000-000D-0000-FFFF-FFFF00000000}"/>
  </bookViews>
  <sheets>
    <sheet name="Calculation" sheetId="24" r:id="rId1"/>
    <sheet name="Check" sheetId="25" r:id="rId2"/>
  </sheets>
  <definedNames>
    <definedName name="_xlnm._FilterDatabase" localSheetId="1" hidden="1">Check!$A$7:$O$7</definedName>
    <definedName name="_xlnm.Print_Area" localSheetId="0">Calculation!$A$1:$O$130</definedName>
    <definedName name="_xlnm.Print_Titles" localSheetId="0">Calculation!$A:$C,Calculation!$1:$4</definedName>
    <definedName name="_xlnm.Print_Titles" localSheetId="1">Check!$1:$7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24" l="1"/>
  <c r="K26" i="24" l="1"/>
  <c r="R39" i="24"/>
  <c r="Y39" i="24"/>
  <c r="R40" i="24"/>
  <c r="Y40" i="24"/>
  <c r="R41" i="24"/>
  <c r="Y41" i="24"/>
  <c r="R42" i="24"/>
  <c r="Y42" i="24"/>
  <c r="R43" i="24"/>
  <c r="Y43" i="24"/>
  <c r="Y44" i="24"/>
  <c r="Y24" i="24"/>
  <c r="Y97" i="24"/>
  <c r="Y13" i="24"/>
  <c r="R35" i="24"/>
  <c r="Y35" i="24"/>
  <c r="R36" i="24"/>
  <c r="Y36" i="24"/>
  <c r="R37" i="24"/>
  <c r="Y37" i="24"/>
  <c r="Y38" i="24"/>
  <c r="Y23" i="24"/>
  <c r="Y95" i="24"/>
  <c r="Y22" i="24"/>
  <c r="Y94" i="24"/>
  <c r="Y21" i="24"/>
  <c r="Y93" i="24"/>
  <c r="Y20" i="24"/>
  <c r="Y92" i="24"/>
  <c r="Y90" i="24"/>
  <c r="Y89" i="24"/>
  <c r="Y88" i="24"/>
  <c r="Y87" i="24"/>
  <c r="Y18" i="24"/>
  <c r="Y19" i="24"/>
  <c r="Y61" i="24"/>
  <c r="Y84" i="24"/>
  <c r="K15" i="24"/>
  <c r="Y15" i="24"/>
  <c r="R34" i="24"/>
  <c r="Y34" i="24"/>
  <c r="Y17" i="24"/>
  <c r="Y47" i="24"/>
  <c r="R33" i="24"/>
  <c r="Y33" i="24"/>
  <c r="Y16" i="24"/>
  <c r="Y48" i="24"/>
  <c r="Y55" i="24" s="1"/>
  <c r="J8" i="24"/>
  <c r="J9" i="24"/>
  <c r="A56" i="24"/>
  <c r="A60" i="24"/>
  <c r="A59" i="24"/>
  <c r="A58" i="24"/>
  <c r="A57" i="24"/>
  <c r="Y57" i="24"/>
  <c r="Y72" i="24" s="1"/>
  <c r="A49" i="24"/>
  <c r="K14" i="24"/>
  <c r="Y14" i="24"/>
  <c r="Y12" i="24"/>
  <c r="R3" i="24"/>
  <c r="Y3" i="24"/>
  <c r="R44" i="24"/>
  <c r="R24" i="24"/>
  <c r="R97" i="24"/>
  <c r="R13" i="24"/>
  <c r="R38" i="24"/>
  <c r="R23" i="24"/>
  <c r="R95" i="24"/>
  <c r="R22" i="24"/>
  <c r="R94" i="24"/>
  <c r="R21" i="24"/>
  <c r="R93" i="24"/>
  <c r="R20" i="24"/>
  <c r="R92" i="24"/>
  <c r="R90" i="24"/>
  <c r="R89" i="24"/>
  <c r="R88" i="24"/>
  <c r="R87" i="24"/>
  <c r="R18" i="24"/>
  <c r="R19" i="24"/>
  <c r="R61" i="24"/>
  <c r="R84" i="24" s="1"/>
  <c r="R15" i="24"/>
  <c r="R17" i="24"/>
  <c r="R47" i="24"/>
  <c r="R16" i="24"/>
  <c r="R48" i="24" s="1"/>
  <c r="R14" i="24"/>
  <c r="R12" i="24"/>
  <c r="J47" i="24"/>
  <c r="J48" i="24"/>
  <c r="J58" i="24" s="1"/>
  <c r="J60" i="24"/>
  <c r="J15" i="24"/>
  <c r="O16" i="24" s="1"/>
  <c r="K47" i="24"/>
  <c r="K48" i="24"/>
  <c r="K59" i="24" s="1"/>
  <c r="K74" i="24" s="1"/>
  <c r="L47" i="24"/>
  <c r="L48" i="24"/>
  <c r="L60" i="24"/>
  <c r="L15" i="24"/>
  <c r="L75" i="24"/>
  <c r="M47" i="24"/>
  <c r="M48" i="24"/>
  <c r="M60" i="24"/>
  <c r="M15" i="24"/>
  <c r="M75" i="24"/>
  <c r="N47" i="24"/>
  <c r="N48" i="24"/>
  <c r="N60" i="24"/>
  <c r="N15" i="24"/>
  <c r="N75" i="24"/>
  <c r="J90" i="24"/>
  <c r="O90" i="24" s="1"/>
  <c r="AF90" i="24" s="1"/>
  <c r="K90" i="24"/>
  <c r="L90" i="24"/>
  <c r="M90" i="24"/>
  <c r="N90" i="24"/>
  <c r="K97" i="24"/>
  <c r="L97" i="24"/>
  <c r="M97" i="24"/>
  <c r="N97" i="24"/>
  <c r="J97" i="24"/>
  <c r="J59" i="24"/>
  <c r="L59" i="24"/>
  <c r="L74" i="24"/>
  <c r="M59" i="24"/>
  <c r="M74" i="24"/>
  <c r="N59" i="24"/>
  <c r="N74" i="24"/>
  <c r="J89" i="24"/>
  <c r="O89" i="24" s="1"/>
  <c r="AF89" i="24" s="1"/>
  <c r="K89" i="24"/>
  <c r="L89" i="24"/>
  <c r="M89" i="24"/>
  <c r="N89" i="24"/>
  <c r="J94" i="24"/>
  <c r="O94" i="24" s="1"/>
  <c r="AF94" i="24" s="1"/>
  <c r="K94" i="24"/>
  <c r="L94" i="24"/>
  <c r="M94" i="24"/>
  <c r="N94" i="24"/>
  <c r="L58" i="24"/>
  <c r="L73" i="24"/>
  <c r="M58" i="24"/>
  <c r="M73" i="24"/>
  <c r="N58" i="24"/>
  <c r="N73" i="24"/>
  <c r="J88" i="24"/>
  <c r="O88" i="24" s="1"/>
  <c r="AF88" i="24" s="1"/>
  <c r="K88" i="24"/>
  <c r="L88" i="24"/>
  <c r="M88" i="24"/>
  <c r="N88" i="24"/>
  <c r="J93" i="24"/>
  <c r="K93" i="24"/>
  <c r="L93" i="24"/>
  <c r="M93" i="24"/>
  <c r="N93" i="24"/>
  <c r="O93" i="24"/>
  <c r="AF93" i="24" s="1"/>
  <c r="L57" i="24"/>
  <c r="L72" i="24"/>
  <c r="M57" i="24"/>
  <c r="M72" i="24"/>
  <c r="N57" i="24"/>
  <c r="N72" i="24"/>
  <c r="J87" i="24"/>
  <c r="O87" i="24" s="1"/>
  <c r="AF87" i="24" s="1"/>
  <c r="K87" i="24"/>
  <c r="L87" i="24"/>
  <c r="M87" i="24"/>
  <c r="N87" i="24"/>
  <c r="J92" i="24"/>
  <c r="O92" i="24" s="1"/>
  <c r="AF92" i="24" s="1"/>
  <c r="K92" i="24"/>
  <c r="L92" i="24"/>
  <c r="M92" i="24"/>
  <c r="N92" i="24"/>
  <c r="K95" i="24"/>
  <c r="K61" i="24"/>
  <c r="K84" i="24" s="1"/>
  <c r="K54" i="24"/>
  <c r="K81" i="24" s="1"/>
  <c r="K50" i="24"/>
  <c r="K66" i="24" s="1"/>
  <c r="K10" i="24"/>
  <c r="K9" i="24"/>
  <c r="K8" i="24"/>
  <c r="B5" i="25"/>
  <c r="C5" i="25"/>
  <c r="J50" i="24"/>
  <c r="L50" i="24"/>
  <c r="L66" i="24"/>
  <c r="M50" i="24"/>
  <c r="M66" i="24"/>
  <c r="N50" i="24"/>
  <c r="N66" i="24"/>
  <c r="L77" i="24"/>
  <c r="M77" i="24"/>
  <c r="N77" i="24"/>
  <c r="J61" i="24"/>
  <c r="J84" i="24" s="1"/>
  <c r="L61" i="24"/>
  <c r="L84" i="24"/>
  <c r="M61" i="24"/>
  <c r="M84" i="24"/>
  <c r="N61" i="24"/>
  <c r="N84" i="24"/>
  <c r="J14" i="24"/>
  <c r="X14" i="24" s="1"/>
  <c r="L14" i="24"/>
  <c r="M14" i="24"/>
  <c r="N14" i="24"/>
  <c r="J104" i="24"/>
  <c r="Q34" i="24"/>
  <c r="X34" i="24"/>
  <c r="X17" i="24"/>
  <c r="X47" i="24"/>
  <c r="J26" i="24"/>
  <c r="Q33" i="24"/>
  <c r="X33" i="24"/>
  <c r="X16" i="24"/>
  <c r="X48" i="24" s="1"/>
  <c r="S34" i="24"/>
  <c r="Z34" i="24"/>
  <c r="Z17" i="24"/>
  <c r="Z47" i="24"/>
  <c r="L26" i="24"/>
  <c r="S33" i="24"/>
  <c r="Z33" i="24"/>
  <c r="Z16" i="24"/>
  <c r="Z48" i="24"/>
  <c r="Z50" i="24"/>
  <c r="Z15" i="24"/>
  <c r="Z66" i="24"/>
  <c r="T34" i="24"/>
  <c r="AA34" i="24"/>
  <c r="AA17" i="24"/>
  <c r="AA47" i="24"/>
  <c r="M26" i="24"/>
  <c r="T33" i="24"/>
  <c r="AA33" i="24"/>
  <c r="AA16" i="24"/>
  <c r="AA48" i="24"/>
  <c r="AA50" i="24"/>
  <c r="AA15" i="24"/>
  <c r="AA66" i="24"/>
  <c r="U34" i="24"/>
  <c r="AB34" i="24"/>
  <c r="AB17" i="24"/>
  <c r="AB47" i="24"/>
  <c r="N26" i="24"/>
  <c r="U33" i="24"/>
  <c r="AB33" i="24"/>
  <c r="AB16" i="24"/>
  <c r="AB48" i="24"/>
  <c r="AB50" i="24"/>
  <c r="AB15" i="24"/>
  <c r="AB66" i="24"/>
  <c r="Z77" i="24"/>
  <c r="AA77" i="24"/>
  <c r="AB77" i="24"/>
  <c r="X18" i="24"/>
  <c r="X19" i="24"/>
  <c r="X61" i="24"/>
  <c r="X84" i="24" s="1"/>
  <c r="Z18" i="24"/>
  <c r="Z19" i="24"/>
  <c r="Z61" i="24"/>
  <c r="Z84" i="24"/>
  <c r="AA18" i="24"/>
  <c r="AA19" i="24"/>
  <c r="AA61" i="24"/>
  <c r="AA84" i="24"/>
  <c r="AB18" i="24"/>
  <c r="AB19" i="24"/>
  <c r="AB61" i="24"/>
  <c r="AB84" i="24"/>
  <c r="Z14" i="24"/>
  <c r="AA14" i="24"/>
  <c r="AB14" i="24"/>
  <c r="Q39" i="24"/>
  <c r="X39" i="24"/>
  <c r="Q40" i="24"/>
  <c r="X40" i="24"/>
  <c r="Q41" i="24"/>
  <c r="X41" i="24"/>
  <c r="Q42" i="24"/>
  <c r="X42" i="24"/>
  <c r="Q43" i="24"/>
  <c r="X43" i="24"/>
  <c r="X44" i="24"/>
  <c r="X24" i="24"/>
  <c r="X97" i="24"/>
  <c r="S39" i="24"/>
  <c r="Z39" i="24"/>
  <c r="S40" i="24"/>
  <c r="Z40" i="24"/>
  <c r="S41" i="24"/>
  <c r="Z41" i="24"/>
  <c r="S42" i="24"/>
  <c r="Z42" i="24"/>
  <c r="S43" i="24"/>
  <c r="Z43" i="24"/>
  <c r="Z44" i="24"/>
  <c r="Z24" i="24"/>
  <c r="Z97" i="24"/>
  <c r="T39" i="24"/>
  <c r="AA39" i="24"/>
  <c r="T40" i="24"/>
  <c r="AA40" i="24"/>
  <c r="T41" i="24"/>
  <c r="AA41" i="24"/>
  <c r="T42" i="24"/>
  <c r="AA42" i="24"/>
  <c r="T43" i="24"/>
  <c r="AA43" i="24"/>
  <c r="AA44" i="24"/>
  <c r="AA24" i="24"/>
  <c r="AA97" i="24"/>
  <c r="U39" i="24"/>
  <c r="AB39" i="24"/>
  <c r="U40" i="24"/>
  <c r="AB40" i="24"/>
  <c r="U41" i="24"/>
  <c r="AB41" i="24"/>
  <c r="U42" i="24"/>
  <c r="AB42" i="24"/>
  <c r="U43" i="24"/>
  <c r="AB43" i="24"/>
  <c r="AB44" i="24"/>
  <c r="AB24" i="24"/>
  <c r="AB97" i="24"/>
  <c r="M104" i="24"/>
  <c r="N104" i="24"/>
  <c r="E5" i="25" s="1"/>
  <c r="Q17" i="24"/>
  <c r="Q47" i="24"/>
  <c r="Q16" i="24"/>
  <c r="Q48" i="24"/>
  <c r="Q51" i="24" s="1"/>
  <c r="S17" i="24"/>
  <c r="S47" i="24"/>
  <c r="S16" i="24"/>
  <c r="S48" i="24"/>
  <c r="S50" i="24"/>
  <c r="S15" i="24"/>
  <c r="S66" i="24"/>
  <c r="T17" i="24"/>
  <c r="T47" i="24"/>
  <c r="T16" i="24"/>
  <c r="T48" i="24"/>
  <c r="T50" i="24"/>
  <c r="T15" i="24"/>
  <c r="T66" i="24"/>
  <c r="U17" i="24"/>
  <c r="U47" i="24"/>
  <c r="U16" i="24"/>
  <c r="U48" i="24"/>
  <c r="U50" i="24"/>
  <c r="U15" i="24"/>
  <c r="U66" i="24"/>
  <c r="S77" i="24"/>
  <c r="T77" i="24"/>
  <c r="U77" i="24"/>
  <c r="Q18" i="24"/>
  <c r="Q19" i="24"/>
  <c r="Q61" i="24"/>
  <c r="Q84" i="24" s="1"/>
  <c r="S18" i="24"/>
  <c r="S19" i="24"/>
  <c r="S61" i="24"/>
  <c r="S84" i="24"/>
  <c r="T18" i="24"/>
  <c r="T19" i="24"/>
  <c r="T61" i="24"/>
  <c r="T84" i="24"/>
  <c r="U18" i="24"/>
  <c r="U19" i="24"/>
  <c r="U61" i="24"/>
  <c r="U84" i="24"/>
  <c r="S14" i="24"/>
  <c r="T14" i="24"/>
  <c r="U14" i="24"/>
  <c r="Q44" i="24"/>
  <c r="Q24" i="24"/>
  <c r="Q97" i="24"/>
  <c r="S44" i="24"/>
  <c r="S24" i="24"/>
  <c r="S97" i="24"/>
  <c r="T44" i="24"/>
  <c r="T24" i="24"/>
  <c r="T97" i="24"/>
  <c r="U44" i="24"/>
  <c r="U24" i="24"/>
  <c r="U97" i="24"/>
  <c r="L104" i="24"/>
  <c r="E6" i="25" s="1"/>
  <c r="J51" i="24"/>
  <c r="J78" i="24" s="1"/>
  <c r="L51" i="24"/>
  <c r="L67" i="24"/>
  <c r="M51" i="24"/>
  <c r="M67" i="24"/>
  <c r="N51" i="24"/>
  <c r="N67" i="24"/>
  <c r="L78" i="24"/>
  <c r="M78" i="24"/>
  <c r="N78" i="24"/>
  <c r="J105" i="24"/>
  <c r="Z51" i="24"/>
  <c r="Z67" i="24"/>
  <c r="AA51" i="24"/>
  <c r="AA67" i="24"/>
  <c r="AB51" i="24"/>
  <c r="AB67" i="24"/>
  <c r="Z78" i="24"/>
  <c r="AA78" i="24"/>
  <c r="AB78" i="24"/>
  <c r="M105" i="24"/>
  <c r="N105" i="24"/>
  <c r="F5" i="25" s="1"/>
  <c r="S51" i="24"/>
  <c r="S67" i="24"/>
  <c r="T51" i="24"/>
  <c r="T67" i="24"/>
  <c r="U51" i="24"/>
  <c r="U67" i="24"/>
  <c r="S78" i="24"/>
  <c r="T78" i="24"/>
  <c r="U78" i="24"/>
  <c r="L105" i="24"/>
  <c r="F6" i="25" s="1"/>
  <c r="J52" i="24"/>
  <c r="L52" i="24"/>
  <c r="L68" i="24"/>
  <c r="M52" i="24"/>
  <c r="M68" i="24"/>
  <c r="N52" i="24"/>
  <c r="N68" i="24"/>
  <c r="L79" i="24"/>
  <c r="M79" i="24"/>
  <c r="N79" i="24"/>
  <c r="J106" i="24"/>
  <c r="Z52" i="24"/>
  <c r="Z68" i="24"/>
  <c r="AA52" i="24"/>
  <c r="AA68" i="24"/>
  <c r="AB52" i="24"/>
  <c r="AB68" i="24"/>
  <c r="Z79" i="24"/>
  <c r="AA79" i="24"/>
  <c r="AB79" i="24"/>
  <c r="M106" i="24"/>
  <c r="N106" i="24"/>
  <c r="G5" i="25" s="1"/>
  <c r="S52" i="24"/>
  <c r="S68" i="24"/>
  <c r="T52" i="24"/>
  <c r="T68" i="24"/>
  <c r="U52" i="24"/>
  <c r="U68" i="24"/>
  <c r="S79" i="24"/>
  <c r="T79" i="24"/>
  <c r="U79" i="24"/>
  <c r="L106" i="24"/>
  <c r="G6" i="25" s="1"/>
  <c r="J53" i="24"/>
  <c r="L53" i="24"/>
  <c r="L69" i="24"/>
  <c r="M53" i="24"/>
  <c r="M69" i="24"/>
  <c r="N53" i="24"/>
  <c r="N69" i="24"/>
  <c r="L80" i="24"/>
  <c r="M80" i="24"/>
  <c r="N80" i="24"/>
  <c r="J107" i="24"/>
  <c r="Z53" i="24"/>
  <c r="Z69" i="24"/>
  <c r="AA53" i="24"/>
  <c r="AA69" i="24"/>
  <c r="AB53" i="24"/>
  <c r="AB69" i="24"/>
  <c r="Z80" i="24"/>
  <c r="AA80" i="24"/>
  <c r="AB80" i="24"/>
  <c r="M107" i="24"/>
  <c r="N107" i="24"/>
  <c r="H5" i="25" s="1"/>
  <c r="S53" i="24"/>
  <c r="S69" i="24"/>
  <c r="T53" i="24"/>
  <c r="T69" i="24"/>
  <c r="U53" i="24"/>
  <c r="U69" i="24"/>
  <c r="S80" i="24"/>
  <c r="T80" i="24"/>
  <c r="U80" i="24"/>
  <c r="L107" i="24"/>
  <c r="H6" i="25" s="1"/>
  <c r="J54" i="24"/>
  <c r="L54" i="24"/>
  <c r="L70" i="24"/>
  <c r="M54" i="24"/>
  <c r="M70" i="24"/>
  <c r="N54" i="24"/>
  <c r="N70" i="24"/>
  <c r="L81" i="24"/>
  <c r="M81" i="24"/>
  <c r="N81" i="24"/>
  <c r="J108" i="24"/>
  <c r="Z54" i="24"/>
  <c r="Z70" i="24"/>
  <c r="AA54" i="24"/>
  <c r="AA70" i="24"/>
  <c r="AB54" i="24"/>
  <c r="AB70" i="24"/>
  <c r="Z81" i="24"/>
  <c r="AA81" i="24"/>
  <c r="AB81" i="24"/>
  <c r="M108" i="24"/>
  <c r="N108" i="24"/>
  <c r="I5" i="25" s="1"/>
  <c r="S54" i="24"/>
  <c r="S70" i="24"/>
  <c r="T54" i="24"/>
  <c r="T70" i="24"/>
  <c r="U54" i="24"/>
  <c r="U70" i="24"/>
  <c r="S81" i="24"/>
  <c r="T81" i="24"/>
  <c r="U81" i="24"/>
  <c r="L108" i="24"/>
  <c r="I6" i="25" s="1"/>
  <c r="J55" i="24"/>
  <c r="J82" i="24" s="1"/>
  <c r="L55" i="24"/>
  <c r="L71" i="24"/>
  <c r="M55" i="24"/>
  <c r="M71" i="24"/>
  <c r="N55" i="24"/>
  <c r="N71" i="24"/>
  <c r="L82" i="24"/>
  <c r="M82" i="24"/>
  <c r="N82" i="24"/>
  <c r="J109" i="24"/>
  <c r="Z55" i="24"/>
  <c r="Z71" i="24"/>
  <c r="AA55" i="24"/>
  <c r="AA71" i="24"/>
  <c r="AB55" i="24"/>
  <c r="AB71" i="24"/>
  <c r="Z82" i="24"/>
  <c r="AA82" i="24"/>
  <c r="AB82" i="24"/>
  <c r="M109" i="24"/>
  <c r="N109" i="24"/>
  <c r="J5" i="25" s="1"/>
  <c r="S55" i="24"/>
  <c r="S71" i="24"/>
  <c r="T55" i="24"/>
  <c r="T71" i="24"/>
  <c r="U55" i="24"/>
  <c r="U71" i="24"/>
  <c r="S82" i="24"/>
  <c r="T82" i="24"/>
  <c r="U82" i="24"/>
  <c r="L109" i="24"/>
  <c r="J6" i="25" s="1"/>
  <c r="Z57" i="24"/>
  <c r="Z72" i="24"/>
  <c r="AA57" i="24"/>
  <c r="AA72" i="24"/>
  <c r="AB57" i="24"/>
  <c r="AB72" i="24"/>
  <c r="X13" i="24"/>
  <c r="X94" i="24" s="1"/>
  <c r="AC94" i="24" s="1"/>
  <c r="AH94" i="24" s="1"/>
  <c r="Q35" i="24"/>
  <c r="X35" i="24"/>
  <c r="Q36" i="24"/>
  <c r="X36" i="24"/>
  <c r="Q37" i="24"/>
  <c r="X37" i="24"/>
  <c r="X38" i="24"/>
  <c r="X20" i="24"/>
  <c r="Z13" i="24"/>
  <c r="S35" i="24"/>
  <c r="Z35" i="24"/>
  <c r="S36" i="24"/>
  <c r="Z36" i="24"/>
  <c r="S37" i="24"/>
  <c r="Z37" i="24"/>
  <c r="Z38" i="24"/>
  <c r="Z20" i="24"/>
  <c r="Z87" i="24"/>
  <c r="AA13" i="24"/>
  <c r="T35" i="24"/>
  <c r="AA35" i="24"/>
  <c r="T36" i="24"/>
  <c r="AA36" i="24"/>
  <c r="T37" i="24"/>
  <c r="AA37" i="24"/>
  <c r="AA38" i="24"/>
  <c r="AA20" i="24"/>
  <c r="AA87" i="24"/>
  <c r="AB13" i="24"/>
  <c r="U35" i="24"/>
  <c r="AB35" i="24"/>
  <c r="U36" i="24"/>
  <c r="AB36" i="24"/>
  <c r="U37" i="24"/>
  <c r="AB37" i="24"/>
  <c r="AB38" i="24"/>
  <c r="AB20" i="24"/>
  <c r="AB87" i="24"/>
  <c r="X92" i="24"/>
  <c r="AC92" i="24" s="1"/>
  <c r="AH92" i="24" s="1"/>
  <c r="Z92" i="24"/>
  <c r="AA92" i="24"/>
  <c r="AB92" i="24"/>
  <c r="Q57" i="24"/>
  <c r="S57" i="24"/>
  <c r="S72" i="24"/>
  <c r="T57" i="24"/>
  <c r="T72" i="24"/>
  <c r="U57" i="24"/>
  <c r="U72" i="24"/>
  <c r="Q13" i="24"/>
  <c r="Q92" i="24" s="1"/>
  <c r="V92" i="24" s="1"/>
  <c r="AG92" i="24" s="1"/>
  <c r="Q38" i="24"/>
  <c r="Q20" i="24"/>
  <c r="S13" i="24"/>
  <c r="S38" i="24"/>
  <c r="S20" i="24"/>
  <c r="S87" i="24"/>
  <c r="T13" i="24"/>
  <c r="T38" i="24"/>
  <c r="T20" i="24"/>
  <c r="T87" i="24"/>
  <c r="U13" i="24"/>
  <c r="U38" i="24"/>
  <c r="U20" i="24"/>
  <c r="U87" i="24"/>
  <c r="S92" i="24"/>
  <c r="T92" i="24"/>
  <c r="U92" i="24"/>
  <c r="Z58" i="24"/>
  <c r="Z73" i="24"/>
  <c r="AA58" i="24"/>
  <c r="AA73" i="24"/>
  <c r="AB58" i="24"/>
  <c r="AB73" i="24"/>
  <c r="X21" i="24"/>
  <c r="Z21" i="24"/>
  <c r="Z88" i="24"/>
  <c r="AA21" i="24"/>
  <c r="AA88" i="24"/>
  <c r="AB21" i="24"/>
  <c r="AB88" i="24"/>
  <c r="X93" i="24"/>
  <c r="AC93" i="24" s="1"/>
  <c r="AH93" i="24" s="1"/>
  <c r="Z93" i="24"/>
  <c r="AA93" i="24"/>
  <c r="AB93" i="24"/>
  <c r="S58" i="24"/>
  <c r="S73" i="24"/>
  <c r="T58" i="24"/>
  <c r="T73" i="24"/>
  <c r="U58" i="24"/>
  <c r="U73" i="24"/>
  <c r="Q21" i="24"/>
  <c r="S21" i="24"/>
  <c r="S88" i="24"/>
  <c r="T21" i="24"/>
  <c r="T88" i="24"/>
  <c r="U21" i="24"/>
  <c r="U88" i="24"/>
  <c r="S93" i="24"/>
  <c r="T93" i="24"/>
  <c r="U93" i="24"/>
  <c r="Z59" i="24"/>
  <c r="Z74" i="24"/>
  <c r="AA59" i="24"/>
  <c r="AA74" i="24"/>
  <c r="AB59" i="24"/>
  <c r="AB74" i="24"/>
  <c r="X22" i="24"/>
  <c r="X89" i="24"/>
  <c r="AC89" i="24" s="1"/>
  <c r="AH89" i="24" s="1"/>
  <c r="Z22" i="24"/>
  <c r="Z89" i="24"/>
  <c r="AA22" i="24"/>
  <c r="AA89" i="24"/>
  <c r="AB22" i="24"/>
  <c r="AB89" i="24"/>
  <c r="Z94" i="24"/>
  <c r="AA94" i="24"/>
  <c r="AB94" i="24"/>
  <c r="S59" i="24"/>
  <c r="S74" i="24"/>
  <c r="T59" i="24"/>
  <c r="T74" i="24"/>
  <c r="U59" i="24"/>
  <c r="U74" i="24"/>
  <c r="Q22" i="24"/>
  <c r="S22" i="24"/>
  <c r="S89" i="24"/>
  <c r="T22" i="24"/>
  <c r="T89" i="24"/>
  <c r="U22" i="24"/>
  <c r="U89" i="24"/>
  <c r="Q94" i="24"/>
  <c r="V94" i="24" s="1"/>
  <c r="AG94" i="24" s="1"/>
  <c r="S94" i="24"/>
  <c r="T94" i="24"/>
  <c r="U94" i="24"/>
  <c r="Z60" i="24"/>
  <c r="Z75" i="24"/>
  <c r="AA60" i="24"/>
  <c r="AA75" i="24"/>
  <c r="AB60" i="24"/>
  <c r="AB75" i="24"/>
  <c r="X23" i="24"/>
  <c r="X90" i="24"/>
  <c r="AC90" i="24" s="1"/>
  <c r="AH90" i="24" s="1"/>
  <c r="Z23" i="24"/>
  <c r="Z90" i="24"/>
  <c r="AA23" i="24"/>
  <c r="AA90" i="24"/>
  <c r="AB23" i="24"/>
  <c r="AB90" i="24"/>
  <c r="S60" i="24"/>
  <c r="S75" i="24"/>
  <c r="T60" i="24"/>
  <c r="T75" i="24"/>
  <c r="U60" i="24"/>
  <c r="U75" i="24"/>
  <c r="Q23" i="24"/>
  <c r="S23" i="24"/>
  <c r="S90" i="24"/>
  <c r="T23" i="24"/>
  <c r="T90" i="24"/>
  <c r="U23" i="24"/>
  <c r="U90" i="24"/>
  <c r="A19" i="24"/>
  <c r="J49" i="24"/>
  <c r="L49" i="24"/>
  <c r="M49" i="24"/>
  <c r="Z49" i="24"/>
  <c r="AA49" i="24"/>
  <c r="Q49" i="24"/>
  <c r="S49" i="24"/>
  <c r="T49" i="24"/>
  <c r="N1" i="25"/>
  <c r="O7" i="25"/>
  <c r="L102" i="24"/>
  <c r="O6" i="25"/>
  <c r="N102" i="24"/>
  <c r="O5" i="25"/>
  <c r="A5" i="25"/>
  <c r="D4" i="25"/>
  <c r="C4" i="25"/>
  <c r="B4" i="25"/>
  <c r="A4" i="25"/>
  <c r="E3" i="25"/>
  <c r="A1" i="25"/>
  <c r="O116" i="24"/>
  <c r="O126" i="24"/>
  <c r="J126" i="24"/>
  <c r="O125" i="24"/>
  <c r="J125" i="24"/>
  <c r="O124" i="24"/>
  <c r="J124" i="24"/>
  <c r="O123" i="24"/>
  <c r="J123" i="24"/>
  <c r="O122" i="24"/>
  <c r="J122" i="24"/>
  <c r="O121" i="24"/>
  <c r="J121" i="24"/>
  <c r="O120" i="24"/>
  <c r="O102" i="24"/>
  <c r="O119" i="24"/>
  <c r="J102" i="24"/>
  <c r="J119" i="24"/>
  <c r="A118" i="24"/>
  <c r="A116" i="24"/>
  <c r="A115" i="24"/>
  <c r="M102" i="24"/>
  <c r="D102" i="24"/>
  <c r="A101" i="24"/>
  <c r="A97" i="24"/>
  <c r="O96" i="24"/>
  <c r="V96" i="24"/>
  <c r="AC96" i="24"/>
  <c r="A96" i="24"/>
  <c r="X95" i="24"/>
  <c r="AC95" i="24" s="1"/>
  <c r="Z95" i="24"/>
  <c r="AA95" i="24"/>
  <c r="AB95" i="24"/>
  <c r="Q95" i="24"/>
  <c r="V95" i="24" s="1"/>
  <c r="S95" i="24"/>
  <c r="T95" i="24"/>
  <c r="U95" i="24"/>
  <c r="J95" i="24"/>
  <c r="L95" i="24"/>
  <c r="M95" i="24"/>
  <c r="N95" i="24"/>
  <c r="O95" i="24"/>
  <c r="A92" i="24"/>
  <c r="O91" i="24"/>
  <c r="V91" i="24"/>
  <c r="AC91" i="24"/>
  <c r="A91" i="24"/>
  <c r="A87" i="24"/>
  <c r="O86" i="24"/>
  <c r="V86" i="24"/>
  <c r="AC86" i="24"/>
  <c r="A86" i="24"/>
  <c r="A85" i="24"/>
  <c r="A84" i="24"/>
  <c r="O83" i="24"/>
  <c r="V83" i="24"/>
  <c r="AC83" i="24"/>
  <c r="A83" i="24"/>
  <c r="A77" i="24"/>
  <c r="O76" i="24"/>
  <c r="V76" i="24"/>
  <c r="AC76" i="24"/>
  <c r="A76" i="24"/>
  <c r="A72" i="24"/>
  <c r="A66" i="24"/>
  <c r="AH65" i="24"/>
  <c r="AG65" i="24"/>
  <c r="AF65" i="24"/>
  <c r="O65" i="24"/>
  <c r="V65" i="24"/>
  <c r="AC65" i="24"/>
  <c r="A65" i="24"/>
  <c r="AF63" i="24"/>
  <c r="AE63" i="24"/>
  <c r="X63" i="24"/>
  <c r="Q63" i="24"/>
  <c r="J63" i="24"/>
  <c r="A63" i="24"/>
  <c r="A61" i="24"/>
  <c r="AB49" i="24"/>
  <c r="U49" i="24"/>
  <c r="N49" i="24"/>
  <c r="A48" i="24"/>
  <c r="A47" i="24"/>
  <c r="A46" i="24"/>
  <c r="A44" i="24"/>
  <c r="A43" i="24"/>
  <c r="A42" i="24"/>
  <c r="A41" i="24"/>
  <c r="A40" i="24"/>
  <c r="A39" i="24"/>
  <c r="A38" i="24"/>
  <c r="A37" i="24"/>
  <c r="A36" i="24"/>
  <c r="A35" i="24"/>
  <c r="D34" i="24"/>
  <c r="A34" i="24"/>
  <c r="D33" i="24"/>
  <c r="A33" i="24"/>
  <c r="X32" i="24"/>
  <c r="Q32" i="24"/>
  <c r="D31" i="24"/>
  <c r="A31" i="24"/>
  <c r="D30" i="24"/>
  <c r="A30" i="24"/>
  <c r="D29" i="24"/>
  <c r="A29" i="24"/>
  <c r="A28" i="24"/>
  <c r="D27" i="24"/>
  <c r="A27" i="24"/>
  <c r="D26" i="24"/>
  <c r="A26" i="24"/>
  <c r="A25" i="24"/>
  <c r="D20" i="24"/>
  <c r="D24" i="24"/>
  <c r="A24" i="24"/>
  <c r="D23" i="24"/>
  <c r="D22" i="24"/>
  <c r="D21" i="24"/>
  <c r="A17" i="24"/>
  <c r="A16" i="24"/>
  <c r="A15" i="24"/>
  <c r="A14" i="24"/>
  <c r="O13" i="24"/>
  <c r="A13" i="24"/>
  <c r="AB12" i="24"/>
  <c r="AA12" i="24"/>
  <c r="Z12" i="24"/>
  <c r="X12" i="24"/>
  <c r="U12" i="24"/>
  <c r="T12" i="24"/>
  <c r="S12" i="24"/>
  <c r="Q12" i="24"/>
  <c r="A12" i="24"/>
  <c r="X11" i="24"/>
  <c r="Q11" i="24"/>
  <c r="O11" i="24"/>
  <c r="J11" i="24"/>
  <c r="A11" i="24"/>
  <c r="N10" i="24"/>
  <c r="M10" i="24"/>
  <c r="L10" i="24"/>
  <c r="J10" i="24"/>
  <c r="D10" i="24"/>
  <c r="A10" i="24"/>
  <c r="N9" i="24"/>
  <c r="M9" i="24"/>
  <c r="L9" i="24"/>
  <c r="A9" i="24"/>
  <c r="N8" i="24"/>
  <c r="M8" i="24"/>
  <c r="L8" i="24"/>
  <c r="A8" i="24"/>
  <c r="D7" i="24"/>
  <c r="A7" i="24"/>
  <c r="A6" i="24"/>
  <c r="A5" i="24"/>
  <c r="J4" i="24"/>
  <c r="D4" i="24"/>
  <c r="C4" i="24"/>
  <c r="B4" i="24"/>
  <c r="A4" i="24"/>
  <c r="U3" i="24"/>
  <c r="AB3" i="24"/>
  <c r="T3" i="24"/>
  <c r="AA3" i="24"/>
  <c r="S3" i="24"/>
  <c r="Z3" i="24"/>
  <c r="Q3" i="24"/>
  <c r="X3" i="24"/>
  <c r="O3" i="24"/>
  <c r="A1" i="24"/>
  <c r="Q93" i="24" l="1"/>
  <c r="V93" i="24" s="1"/>
  <c r="AG93" i="24" s="1"/>
  <c r="Q87" i="24"/>
  <c r="V87" i="24" s="1"/>
  <c r="AG87" i="24" s="1"/>
  <c r="Q88" i="24"/>
  <c r="V88" i="24" s="1"/>
  <c r="AG88" i="24" s="1"/>
  <c r="Q89" i="24"/>
  <c r="V89" i="24" s="1"/>
  <c r="AG89" i="24" s="1"/>
  <c r="Q90" i="24"/>
  <c r="V90" i="24" s="1"/>
  <c r="AG90" i="24" s="1"/>
  <c r="O97" i="24"/>
  <c r="AF97" i="24" s="1"/>
  <c r="V97" i="24"/>
  <c r="AG97" i="24" s="1"/>
  <c r="J74" i="24"/>
  <c r="X88" i="24"/>
  <c r="AC88" i="24" s="1"/>
  <c r="AH88" i="24" s="1"/>
  <c r="J66" i="24"/>
  <c r="O66" i="24" s="1"/>
  <c r="AF66" i="24" s="1"/>
  <c r="J81" i="24"/>
  <c r="O81" i="24" s="1"/>
  <c r="AF81" i="24" s="1"/>
  <c r="J77" i="24"/>
  <c r="X87" i="24"/>
  <c r="AC87" i="24" s="1"/>
  <c r="AH87" i="24" s="1"/>
  <c r="J79" i="24"/>
  <c r="J69" i="24"/>
  <c r="Q14" i="24"/>
  <c r="V84" i="24" s="1"/>
  <c r="AG84" i="24" s="1"/>
  <c r="O15" i="24"/>
  <c r="D5" i="25" s="1"/>
  <c r="J80" i="24"/>
  <c r="O19" i="24"/>
  <c r="X15" i="24"/>
  <c r="Q15" i="24"/>
  <c r="Q78" i="24" s="1"/>
  <c r="J75" i="24"/>
  <c r="O14" i="24"/>
  <c r="J71" i="24"/>
  <c r="J67" i="24"/>
  <c r="J73" i="24"/>
  <c r="AC97" i="24"/>
  <c r="AH97" i="24" s="1"/>
  <c r="AC84" i="24"/>
  <c r="AH84" i="24" s="1"/>
  <c r="K53" i="24"/>
  <c r="R52" i="24"/>
  <c r="R57" i="24"/>
  <c r="R72" i="24" s="1"/>
  <c r="R51" i="24"/>
  <c r="R50" i="24"/>
  <c r="R55" i="24"/>
  <c r="R60" i="24"/>
  <c r="R75" i="24" s="1"/>
  <c r="R54" i="24"/>
  <c r="R59" i="24"/>
  <c r="R74" i="24" s="1"/>
  <c r="R49" i="24"/>
  <c r="R53" i="24"/>
  <c r="R58" i="24"/>
  <c r="R73" i="24" s="1"/>
  <c r="Y82" i="24"/>
  <c r="Y71" i="24"/>
  <c r="O74" i="24"/>
  <c r="AF74" i="24" s="1"/>
  <c r="K70" i="24"/>
  <c r="K58" i="24"/>
  <c r="K73" i="24" s="1"/>
  <c r="Y49" i="24"/>
  <c r="Y58" i="24"/>
  <c r="Y73" i="24" s="1"/>
  <c r="Y50" i="24"/>
  <c r="K55" i="24"/>
  <c r="K77" i="24"/>
  <c r="K57" i="24"/>
  <c r="K72" i="24" s="1"/>
  <c r="Y51" i="24"/>
  <c r="Y59" i="24"/>
  <c r="Y74" i="24" s="1"/>
  <c r="Y52" i="24"/>
  <c r="K51" i="24"/>
  <c r="K60" i="24"/>
  <c r="K75" i="24" s="1"/>
  <c r="Y60" i="24"/>
  <c r="Y75" i="24" s="1"/>
  <c r="Y53" i="24"/>
  <c r="K49" i="24"/>
  <c r="K52" i="24"/>
  <c r="Y54" i="24"/>
  <c r="O84" i="24"/>
  <c r="AF84" i="24" s="1"/>
  <c r="J103" i="24" s="1"/>
  <c r="J120" i="24" s="1"/>
  <c r="X58" i="24"/>
  <c r="X49" i="24"/>
  <c r="X52" i="24"/>
  <c r="X54" i="24"/>
  <c r="X50" i="24"/>
  <c r="X51" i="24"/>
  <c r="X53" i="24"/>
  <c r="X55" i="24"/>
  <c r="X60" i="24"/>
  <c r="X57" i="24"/>
  <c r="X59" i="24"/>
  <c r="J70" i="24"/>
  <c r="J68" i="24"/>
  <c r="Q54" i="24"/>
  <c r="Q52" i="24"/>
  <c r="J57" i="24"/>
  <c r="J72" i="24" s="1"/>
  <c r="Q60" i="24"/>
  <c r="Q58" i="24"/>
  <c r="Q73" i="24" s="1"/>
  <c r="V73" i="24" s="1"/>
  <c r="AG73" i="24" s="1"/>
  <c r="Q50" i="24"/>
  <c r="Q59" i="24"/>
  <c r="Q55" i="24"/>
  <c r="Q53" i="24"/>
  <c r="Q72" i="24" l="1"/>
  <c r="V72" i="24" s="1"/>
  <c r="AG72" i="24" s="1"/>
  <c r="O73" i="24"/>
  <c r="AF73" i="24" s="1"/>
  <c r="J111" i="24" s="1"/>
  <c r="J128" i="24" s="1"/>
  <c r="J112" i="24"/>
  <c r="J129" i="24" s="1"/>
  <c r="Q75" i="24"/>
  <c r="V75" i="24" s="1"/>
  <c r="AG75" i="24" s="1"/>
  <c r="O75" i="24"/>
  <c r="AF75" i="24" s="1"/>
  <c r="J113" i="24" s="1"/>
  <c r="J130" i="24" s="1"/>
  <c r="Q67" i="24"/>
  <c r="V67" i="24" s="1"/>
  <c r="AG67" i="24" s="1"/>
  <c r="X73" i="24"/>
  <c r="AC73" i="24" s="1"/>
  <c r="AH73" i="24" s="1"/>
  <c r="X74" i="24"/>
  <c r="AC74" i="24" s="1"/>
  <c r="AH74" i="24" s="1"/>
  <c r="O77" i="24"/>
  <c r="AF77" i="24" s="1"/>
  <c r="Q74" i="24"/>
  <c r="V74" i="24" s="1"/>
  <c r="AG74" i="24" s="1"/>
  <c r="X72" i="24"/>
  <c r="AC72" i="24" s="1"/>
  <c r="AH72" i="24" s="1"/>
  <c r="X75" i="24"/>
  <c r="AC75" i="24" s="1"/>
  <c r="AH75" i="24" s="1"/>
  <c r="K80" i="24"/>
  <c r="O80" i="24" s="1"/>
  <c r="AF80" i="24" s="1"/>
  <c r="K69" i="24"/>
  <c r="O69" i="24" s="1"/>
  <c r="AF69" i="24" s="1"/>
  <c r="O103" i="24"/>
  <c r="Y80" i="24"/>
  <c r="Y69" i="24"/>
  <c r="K71" i="24"/>
  <c r="O71" i="24" s="1"/>
  <c r="AF71" i="24" s="1"/>
  <c r="K82" i="24"/>
  <c r="O82" i="24" s="1"/>
  <c r="AF82" i="24" s="1"/>
  <c r="R69" i="24"/>
  <c r="R80" i="24"/>
  <c r="Y66" i="24"/>
  <c r="Y77" i="24"/>
  <c r="K67" i="24"/>
  <c r="O67" i="24" s="1"/>
  <c r="AF67" i="24" s="1"/>
  <c r="K78" i="24"/>
  <c r="O78" i="24" s="1"/>
  <c r="AF78" i="24" s="1"/>
  <c r="R70" i="24"/>
  <c r="R81" i="24"/>
  <c r="O72" i="24"/>
  <c r="AF72" i="24" s="1"/>
  <c r="J110" i="24" s="1"/>
  <c r="J127" i="24" s="1"/>
  <c r="R71" i="24"/>
  <c r="R82" i="24"/>
  <c r="Y68" i="24"/>
  <c r="Y79" i="24"/>
  <c r="R77" i="24"/>
  <c r="R66" i="24"/>
  <c r="O68" i="24"/>
  <c r="AF68" i="24" s="1"/>
  <c r="Y81" i="24"/>
  <c r="Y70" i="24"/>
  <c r="R78" i="24"/>
  <c r="V78" i="24" s="1"/>
  <c r="AG78" i="24" s="1"/>
  <c r="R67" i="24"/>
  <c r="O70" i="24"/>
  <c r="AF70" i="24" s="1"/>
  <c r="K68" i="24"/>
  <c r="K79" i="24"/>
  <c r="O79" i="24" s="1"/>
  <c r="AF79" i="24" s="1"/>
  <c r="Y67" i="24"/>
  <c r="Y78" i="24"/>
  <c r="R79" i="24"/>
  <c r="R68" i="24"/>
  <c r="X82" i="24"/>
  <c r="AC82" i="24" s="1"/>
  <c r="AH82" i="24" s="1"/>
  <c r="X71" i="24"/>
  <c r="AC71" i="24" s="1"/>
  <c r="AH71" i="24" s="1"/>
  <c r="Q79" i="24"/>
  <c r="Q68" i="24"/>
  <c r="Q80" i="24"/>
  <c r="Q69" i="24"/>
  <c r="V69" i="24" s="1"/>
  <c r="AG69" i="24" s="1"/>
  <c r="X80" i="24"/>
  <c r="X69" i="24"/>
  <c r="X78" i="24"/>
  <c r="X67" i="24"/>
  <c r="X77" i="24"/>
  <c r="AC77" i="24" s="1"/>
  <c r="AH77" i="24" s="1"/>
  <c r="X66" i="24"/>
  <c r="AC66" i="24" s="1"/>
  <c r="AH66" i="24" s="1"/>
  <c r="Q82" i="24"/>
  <c r="V82" i="24" s="1"/>
  <c r="AG82" i="24" s="1"/>
  <c r="Q71" i="24"/>
  <c r="V71" i="24" s="1"/>
  <c r="AG71" i="24" s="1"/>
  <c r="Q66" i="24"/>
  <c r="Q77" i="24"/>
  <c r="X81" i="24"/>
  <c r="X70" i="24"/>
  <c r="X79" i="24"/>
  <c r="X68" i="24"/>
  <c r="Q81" i="24"/>
  <c r="Q70" i="24"/>
  <c r="V70" i="24" s="1"/>
  <c r="AG70" i="24" s="1"/>
  <c r="L111" i="24" l="1"/>
  <c r="L6" i="25" s="1"/>
  <c r="L112" i="24"/>
  <c r="M6" i="25" s="1"/>
  <c r="M111" i="24"/>
  <c r="N111" i="24" s="1"/>
  <c r="L5" i="25" s="1"/>
  <c r="M112" i="24"/>
  <c r="N112" i="24" s="1"/>
  <c r="M5" i="25" s="1"/>
  <c r="L110" i="24"/>
  <c r="K6" i="25" s="1"/>
  <c r="O18" i="25" s="1"/>
  <c r="L113" i="24"/>
  <c r="N6" i="25" s="1"/>
  <c r="M113" i="24"/>
  <c r="N113" i="24" s="1"/>
  <c r="N5" i="25" s="1"/>
  <c r="AC78" i="24"/>
  <c r="AH78" i="24" s="1"/>
  <c r="AC79" i="24"/>
  <c r="AH79" i="24" s="1"/>
  <c r="V77" i="24"/>
  <c r="AG77" i="24" s="1"/>
  <c r="V79" i="24"/>
  <c r="AG79" i="24" s="1"/>
  <c r="M110" i="24"/>
  <c r="N110" i="24" s="1"/>
  <c r="K5" i="25" s="1"/>
  <c r="O180" i="25" s="1"/>
  <c r="V81" i="24"/>
  <c r="AG81" i="24" s="1"/>
  <c r="AC67" i="24"/>
  <c r="AH67" i="24" s="1"/>
  <c r="AC68" i="24"/>
  <c r="AH68" i="24" s="1"/>
  <c r="AC69" i="24"/>
  <c r="AH69" i="24" s="1"/>
  <c r="AC70" i="24"/>
  <c r="AH70" i="24" s="1"/>
  <c r="AC80" i="24"/>
  <c r="AH80" i="24" s="1"/>
  <c r="AC81" i="24"/>
  <c r="AH81" i="24" s="1"/>
  <c r="V80" i="24"/>
  <c r="AG80" i="24" s="1"/>
  <c r="V66" i="24"/>
  <c r="AG66" i="24" s="1"/>
  <c r="V68" i="24"/>
  <c r="AG68" i="24" s="1"/>
  <c r="O43" i="25"/>
  <c r="O58" i="25"/>
  <c r="O177" i="25"/>
  <c r="O193" i="25"/>
  <c r="O171" i="25"/>
  <c r="O136" i="25"/>
  <c r="O162" i="25"/>
  <c r="O111" i="25"/>
  <c r="O36" i="25"/>
  <c r="O32" i="25"/>
  <c r="O75" i="25"/>
  <c r="O143" i="25"/>
  <c r="O160" i="25"/>
  <c r="O81" i="25"/>
  <c r="O23" i="25"/>
  <c r="O134" i="25"/>
  <c r="O14" i="25"/>
  <c r="O127" i="25"/>
  <c r="O114" i="25"/>
  <c r="O188" i="25"/>
  <c r="O173" i="25" l="1"/>
  <c r="O105" i="25"/>
  <c r="O21" i="25"/>
  <c r="O178" i="25"/>
  <c r="O93" i="25"/>
  <c r="O67" i="25"/>
  <c r="O156" i="25"/>
  <c r="O38" i="25"/>
  <c r="O78" i="25"/>
  <c r="O57" i="25"/>
  <c r="O135" i="25"/>
  <c r="O71" i="25"/>
  <c r="O151" i="25"/>
  <c r="O145" i="25"/>
  <c r="O25" i="25"/>
  <c r="O137" i="25"/>
  <c r="O172" i="25"/>
  <c r="O133" i="25"/>
  <c r="O62" i="25"/>
  <c r="O22" i="25"/>
  <c r="O131" i="25"/>
  <c r="O123" i="25"/>
  <c r="O30" i="25"/>
  <c r="O113" i="25"/>
  <c r="O139" i="25"/>
  <c r="O189" i="25"/>
  <c r="O103" i="25"/>
  <c r="O9" i="25"/>
  <c r="O148" i="25"/>
  <c r="O16" i="25"/>
  <c r="O28" i="25"/>
  <c r="O182" i="25"/>
  <c r="O39" i="25"/>
  <c r="O122" i="25"/>
  <c r="O186" i="25"/>
  <c r="O195" i="25"/>
  <c r="O167" i="25"/>
  <c r="O104" i="25"/>
  <c r="O192" i="25"/>
  <c r="O112" i="25"/>
  <c r="O96" i="25"/>
  <c r="O99" i="25"/>
  <c r="O68" i="25"/>
  <c r="O83" i="25"/>
  <c r="O80" i="25"/>
  <c r="O179" i="25"/>
  <c r="O44" i="25"/>
  <c r="O175" i="25"/>
  <c r="O35" i="25"/>
  <c r="O53" i="25"/>
  <c r="O125" i="25"/>
  <c r="O164" i="25"/>
  <c r="O191" i="25"/>
  <c r="O59" i="25"/>
  <c r="O79" i="25"/>
  <c r="O56" i="25"/>
  <c r="O85" i="25"/>
  <c r="O77" i="25"/>
  <c r="O106" i="25"/>
  <c r="O13" i="25"/>
  <c r="O146" i="25"/>
  <c r="O66" i="25"/>
  <c r="O107" i="25"/>
  <c r="O116" i="25"/>
  <c r="O132" i="25"/>
  <c r="O147" i="25"/>
  <c r="O194" i="25"/>
  <c r="O52" i="25"/>
  <c r="O119" i="25"/>
  <c r="O76" i="25"/>
  <c r="O27" i="25"/>
  <c r="O101" i="25"/>
  <c r="O40" i="25"/>
  <c r="O199" i="25"/>
  <c r="O51" i="25"/>
  <c r="O140" i="25"/>
  <c r="O185" i="25"/>
  <c r="O115" i="25"/>
  <c r="O184" i="25"/>
  <c r="O124" i="25"/>
  <c r="O129" i="25"/>
  <c r="O190" i="25"/>
  <c r="O118" i="25"/>
  <c r="O72" i="25"/>
  <c r="O150" i="25"/>
  <c r="O200" i="25"/>
  <c r="O69" i="25"/>
  <c r="O55" i="25"/>
  <c r="O31" i="25"/>
  <c r="O92" i="25"/>
  <c r="O159" i="25"/>
  <c r="O120" i="25"/>
  <c r="O157" i="25"/>
  <c r="O47" i="25"/>
  <c r="O95" i="25"/>
  <c r="O50" i="25"/>
  <c r="O174" i="25"/>
  <c r="O97" i="25"/>
  <c r="O34" i="25"/>
  <c r="O84" i="25"/>
  <c r="O64" i="25"/>
  <c r="O24" i="25"/>
  <c r="O37" i="25"/>
  <c r="O144" i="25"/>
  <c r="O54" i="25"/>
  <c r="O201" i="25"/>
  <c r="O155" i="25"/>
  <c r="O87" i="25"/>
  <c r="O165" i="25"/>
  <c r="O152" i="25"/>
  <c r="O89" i="25"/>
  <c r="O45" i="25"/>
  <c r="O163" i="25"/>
  <c r="O15" i="25"/>
  <c r="O10" i="25"/>
  <c r="O108" i="25"/>
  <c r="O70" i="25"/>
  <c r="O102" i="25"/>
  <c r="O91" i="25"/>
  <c r="O29" i="25"/>
  <c r="O109" i="25"/>
  <c r="O33" i="25"/>
  <c r="O149" i="25"/>
  <c r="O197" i="25"/>
  <c r="O12" i="25"/>
  <c r="O26" i="25"/>
  <c r="O49" i="25"/>
  <c r="O100" i="25"/>
  <c r="O168" i="25"/>
  <c r="O94" i="25"/>
  <c r="O20" i="25"/>
  <c r="O65" i="25"/>
  <c r="O153" i="25"/>
  <c r="O42" i="25"/>
  <c r="O117" i="25"/>
  <c r="O183" i="25"/>
  <c r="O176" i="25"/>
  <c r="O48" i="25"/>
  <c r="O187" i="25"/>
  <c r="O154" i="25"/>
  <c r="O142" i="25"/>
  <c r="O82" i="25"/>
  <c r="O41" i="25"/>
  <c r="O110" i="25"/>
  <c r="O170" i="25"/>
  <c r="O196" i="25"/>
  <c r="O74" i="25"/>
  <c r="O198" i="25"/>
  <c r="O8" i="25"/>
  <c r="O46" i="25"/>
  <c r="O126" i="25"/>
  <c r="O181" i="25"/>
  <c r="O130" i="25"/>
  <c r="O161" i="25"/>
  <c r="O17" i="25"/>
  <c r="O88" i="25"/>
  <c r="O73" i="25"/>
  <c r="O86" i="25"/>
  <c r="O158" i="25"/>
  <c r="O63" i="25"/>
  <c r="O90" i="25"/>
  <c r="O19" i="25"/>
  <c r="O166" i="25"/>
  <c r="O141" i="25"/>
  <c r="O60" i="25"/>
  <c r="O128" i="25"/>
  <c r="O138" i="25"/>
  <c r="O169" i="25"/>
  <c r="O121" i="25"/>
  <c r="O98" i="25"/>
  <c r="O11" i="25"/>
  <c r="O202" i="25"/>
  <c r="O61" i="25"/>
  <c r="O104" i="24" l="1"/>
  <c r="O107" i="24"/>
  <c r="O108" i="24"/>
  <c r="O111" i="24"/>
  <c r="O128" i="24" s="1"/>
  <c r="O110" i="24"/>
  <c r="O127" i="24" s="1"/>
  <c r="O113" i="24"/>
  <c r="O130" i="24" s="1"/>
  <c r="O109" i="24"/>
  <c r="O106" i="24"/>
  <c r="O112" i="24"/>
  <c r="O129" i="24" s="1"/>
  <c r="O105" i="24"/>
</calcChain>
</file>

<file path=xl/sharedStrings.xml><?xml version="1.0" encoding="utf-8"?>
<sst xmlns="http://schemas.openxmlformats.org/spreadsheetml/2006/main" count="773" uniqueCount="378">
  <si>
    <t>D5</t>
  </si>
  <si>
    <r>
      <t>D4.2</t>
    </r>
    <r>
      <rPr>
        <vertAlign val="subscript"/>
        <sz val="10"/>
        <color theme="1"/>
        <rFont val="Arial"/>
        <family val="2"/>
      </rPr>
      <t>R&lt;300</t>
    </r>
  </si>
  <si>
    <r>
      <t>D4.2</t>
    </r>
    <r>
      <rPr>
        <vertAlign val="subscript"/>
        <sz val="10"/>
        <color theme="1"/>
        <rFont val="Arial"/>
        <family val="2"/>
      </rPr>
      <t>R300-400</t>
    </r>
  </si>
  <si>
    <r>
      <t>D4.2</t>
    </r>
    <r>
      <rPr>
        <vertAlign val="subscript"/>
        <sz val="10"/>
        <color theme="1"/>
        <rFont val="Arial"/>
        <family val="2"/>
      </rPr>
      <t>R400-600</t>
    </r>
  </si>
  <si>
    <r>
      <t>D4.2</t>
    </r>
    <r>
      <rPr>
        <vertAlign val="subscript"/>
        <sz val="10"/>
        <color theme="1"/>
        <rFont val="Arial"/>
        <family val="2"/>
      </rPr>
      <t>R600-1200</t>
    </r>
  </si>
  <si>
    <r>
      <t>D4.1</t>
    </r>
    <r>
      <rPr>
        <vertAlign val="subscript"/>
        <sz val="10"/>
        <color theme="1"/>
        <rFont val="Arial"/>
        <family val="2"/>
      </rPr>
      <t>R&lt;300</t>
    </r>
  </si>
  <si>
    <r>
      <t>D4.1</t>
    </r>
    <r>
      <rPr>
        <vertAlign val="subscript"/>
        <sz val="10"/>
        <color theme="1"/>
        <rFont val="Arial"/>
        <family val="2"/>
      </rPr>
      <t>R300-400</t>
    </r>
  </si>
  <si>
    <r>
      <t>D4.1</t>
    </r>
    <r>
      <rPr>
        <vertAlign val="subscript"/>
        <sz val="10"/>
        <color theme="1"/>
        <rFont val="Arial"/>
        <family val="2"/>
      </rPr>
      <t>R400-600</t>
    </r>
  </si>
  <si>
    <r>
      <t>D4.1</t>
    </r>
    <r>
      <rPr>
        <vertAlign val="subscript"/>
        <sz val="10"/>
        <color theme="1"/>
        <rFont val="Arial"/>
        <family val="2"/>
      </rPr>
      <t>R600-1200</t>
    </r>
  </si>
  <si>
    <t>Nm/m</t>
  </si>
  <si>
    <t>D3</t>
  </si>
  <si>
    <r>
      <t>mm</t>
    </r>
    <r>
      <rPr>
        <vertAlign val="superscript"/>
        <sz val="10"/>
        <color theme="1"/>
        <rFont val="Arial"/>
        <family val="2"/>
      </rPr>
      <t>2</t>
    </r>
  </si>
  <si>
    <r>
      <t>D2</t>
    </r>
    <r>
      <rPr>
        <vertAlign val="subscript"/>
        <sz val="10"/>
        <color theme="1"/>
        <rFont val="Arial"/>
        <family val="2"/>
      </rPr>
      <t>V140-160</t>
    </r>
  </si>
  <si>
    <r>
      <t>D2</t>
    </r>
    <r>
      <rPr>
        <vertAlign val="subscript"/>
        <sz val="10"/>
        <color theme="1"/>
        <rFont val="Arial"/>
        <family val="2"/>
      </rPr>
      <t>V120-140</t>
    </r>
  </si>
  <si>
    <r>
      <t>D2</t>
    </r>
    <r>
      <rPr>
        <vertAlign val="subscript"/>
        <sz val="10"/>
        <color theme="1"/>
        <rFont val="Arial"/>
        <family val="2"/>
      </rPr>
      <t>V100-120</t>
    </r>
  </si>
  <si>
    <r>
      <t>D2</t>
    </r>
    <r>
      <rPr>
        <vertAlign val="subscript"/>
        <sz val="10"/>
        <color theme="1"/>
        <rFont val="Arial"/>
        <family val="2"/>
      </rPr>
      <t>V80-100</t>
    </r>
  </si>
  <si>
    <r>
      <t>D2</t>
    </r>
    <r>
      <rPr>
        <vertAlign val="subscript"/>
        <sz val="10"/>
        <color theme="1"/>
        <rFont val="Arial"/>
        <family val="2"/>
      </rPr>
      <t>V0-80</t>
    </r>
  </si>
  <si>
    <r>
      <t>D1</t>
    </r>
    <r>
      <rPr>
        <vertAlign val="subscript"/>
        <sz val="10"/>
        <color theme="1"/>
        <rFont val="Arial"/>
        <family val="2"/>
      </rPr>
      <t>R&lt;300</t>
    </r>
  </si>
  <si>
    <r>
      <t>D1</t>
    </r>
    <r>
      <rPr>
        <vertAlign val="subscript"/>
        <sz val="10"/>
        <color theme="1"/>
        <rFont val="Arial"/>
        <family val="2"/>
      </rPr>
      <t>R300-400</t>
    </r>
  </si>
  <si>
    <r>
      <t>D1</t>
    </r>
    <r>
      <rPr>
        <vertAlign val="subscript"/>
        <sz val="10"/>
        <color theme="1"/>
        <rFont val="Arial"/>
        <family val="2"/>
      </rPr>
      <t>R400-600</t>
    </r>
  </si>
  <si>
    <r>
      <t>D1</t>
    </r>
    <r>
      <rPr>
        <vertAlign val="subscript"/>
        <sz val="10"/>
        <color theme="1"/>
        <rFont val="Arial"/>
        <family val="2"/>
      </rPr>
      <t>R600-1200</t>
    </r>
  </si>
  <si>
    <r>
      <t>D1</t>
    </r>
    <r>
      <rPr>
        <vertAlign val="subscript"/>
        <sz val="10"/>
        <color theme="1"/>
        <rFont val="Arial"/>
        <family val="2"/>
      </rPr>
      <t>V140-160</t>
    </r>
  </si>
  <si>
    <r>
      <t>D1</t>
    </r>
    <r>
      <rPr>
        <vertAlign val="subscript"/>
        <sz val="10"/>
        <color theme="1"/>
        <rFont val="Arial"/>
        <family val="2"/>
      </rPr>
      <t>V120-140</t>
    </r>
  </si>
  <si>
    <r>
      <t>D1</t>
    </r>
    <r>
      <rPr>
        <vertAlign val="subscript"/>
        <sz val="10"/>
        <color theme="1"/>
        <rFont val="Arial"/>
        <family val="2"/>
      </rPr>
      <t>V100-120</t>
    </r>
  </si>
  <si>
    <r>
      <t>D1</t>
    </r>
    <r>
      <rPr>
        <vertAlign val="subscript"/>
        <sz val="10"/>
        <color theme="1"/>
        <rFont val="Arial"/>
        <family val="2"/>
      </rPr>
      <t>V80-100</t>
    </r>
  </si>
  <si>
    <r>
      <t>D1</t>
    </r>
    <r>
      <rPr>
        <vertAlign val="subscript"/>
        <sz val="10"/>
        <color theme="1"/>
        <rFont val="Arial"/>
        <family val="2"/>
      </rPr>
      <t>V0-80</t>
    </r>
  </si>
  <si>
    <t>kN</t>
  </si>
  <si>
    <r>
      <t>Q</t>
    </r>
    <r>
      <rPr>
        <vertAlign val="subscript"/>
        <sz val="10"/>
        <color theme="1"/>
        <rFont val="Arial"/>
        <family val="2"/>
      </rPr>
      <t>V200</t>
    </r>
  </si>
  <si>
    <r>
      <t>Q</t>
    </r>
    <r>
      <rPr>
        <vertAlign val="subscript"/>
        <sz val="10"/>
        <color theme="1"/>
        <rFont val="Arial"/>
        <family val="2"/>
      </rPr>
      <t>V150</t>
    </r>
  </si>
  <si>
    <r>
      <t>Q</t>
    </r>
    <r>
      <rPr>
        <vertAlign val="subscript"/>
        <sz val="10"/>
        <color theme="1"/>
        <rFont val="Arial"/>
        <family val="2"/>
      </rPr>
      <t>V130</t>
    </r>
  </si>
  <si>
    <r>
      <t>Q</t>
    </r>
    <r>
      <rPr>
        <vertAlign val="subscript"/>
        <sz val="10"/>
        <color theme="1"/>
        <rFont val="Arial"/>
        <family val="2"/>
      </rPr>
      <t>V110</t>
    </r>
  </si>
  <si>
    <r>
      <t>Q</t>
    </r>
    <r>
      <rPr>
        <vertAlign val="subscript"/>
        <sz val="10"/>
        <color theme="1"/>
        <rFont val="Arial"/>
        <family val="2"/>
      </rPr>
      <t>V90</t>
    </r>
  </si>
  <si>
    <r>
      <t>Q</t>
    </r>
    <r>
      <rPr>
        <vertAlign val="subscript"/>
        <sz val="10"/>
        <color theme="1"/>
        <rFont val="Arial"/>
        <family val="2"/>
      </rPr>
      <t>V75</t>
    </r>
  </si>
  <si>
    <r>
      <t>Q</t>
    </r>
    <r>
      <rPr>
        <vertAlign val="subscript"/>
        <sz val="10"/>
        <color theme="1"/>
        <rFont val="Arial"/>
        <family val="2"/>
      </rPr>
      <t>0</t>
    </r>
  </si>
  <si>
    <r>
      <t>b</t>
    </r>
    <r>
      <rPr>
        <vertAlign val="subscript"/>
        <sz val="10"/>
        <color theme="1"/>
        <rFont val="Arial"/>
        <family val="2"/>
      </rPr>
      <t>Q</t>
    </r>
  </si>
  <si>
    <r>
      <t>a</t>
    </r>
    <r>
      <rPr>
        <vertAlign val="subscript"/>
        <sz val="10"/>
        <color theme="1"/>
        <rFont val="Arial"/>
        <family val="2"/>
      </rPr>
      <t>Q</t>
    </r>
  </si>
  <si>
    <t>kW</t>
  </si>
  <si>
    <r>
      <t>P</t>
    </r>
    <r>
      <rPr>
        <vertAlign val="subscript"/>
        <sz val="10"/>
        <color theme="1"/>
        <rFont val="Arial"/>
        <family val="2"/>
      </rPr>
      <t>Rad</t>
    </r>
  </si>
  <si>
    <t>m</t>
  </si>
  <si>
    <r>
      <t>R</t>
    </r>
    <r>
      <rPr>
        <vertAlign val="subscript"/>
        <sz val="10"/>
        <color theme="1"/>
        <rFont val="Arial"/>
        <family val="2"/>
      </rPr>
      <t>Rad</t>
    </r>
  </si>
  <si>
    <t>kg</t>
  </si>
  <si>
    <r>
      <t>m</t>
    </r>
    <r>
      <rPr>
        <vertAlign val="subscript"/>
        <sz val="10"/>
        <color theme="1"/>
        <rFont val="Arial"/>
        <family val="2"/>
      </rPr>
      <t>u</t>
    </r>
  </si>
  <si>
    <r>
      <t>Q</t>
    </r>
    <r>
      <rPr>
        <vertAlign val="subscript"/>
        <sz val="8"/>
        <color theme="1"/>
        <rFont val="Arial"/>
        <family val="2"/>
      </rPr>
      <t>0</t>
    </r>
  </si>
  <si>
    <t xml:space="preserve"> </t>
  </si>
  <si>
    <t>V0-80</t>
  </si>
  <si>
    <t>V80-100</t>
  </si>
  <si>
    <t>V100-120</t>
  </si>
  <si>
    <t>V120-140</t>
  </si>
  <si>
    <t>V140-160</t>
  </si>
  <si>
    <t>R600-1200</t>
  </si>
  <si>
    <t>R400-600</t>
  </si>
  <si>
    <t>R300-400</t>
  </si>
  <si>
    <t>R&lt;300</t>
  </si>
  <si>
    <r>
      <t>V</t>
    </r>
    <r>
      <rPr>
        <vertAlign val="subscript"/>
        <sz val="10"/>
        <color theme="1"/>
        <rFont val="Arial"/>
        <family val="2"/>
      </rPr>
      <t>zul</t>
    </r>
  </si>
  <si>
    <t>km/h</t>
  </si>
  <si>
    <r>
      <t>Q</t>
    </r>
    <r>
      <rPr>
        <vertAlign val="subscript"/>
        <sz val="10"/>
        <color theme="1"/>
        <rFont val="Arial"/>
        <family val="2"/>
      </rPr>
      <t>VR600-1200</t>
    </r>
  </si>
  <si>
    <r>
      <t>Q</t>
    </r>
    <r>
      <rPr>
        <vertAlign val="subscript"/>
        <sz val="10"/>
        <color theme="1"/>
        <rFont val="Arial"/>
        <family val="2"/>
      </rPr>
      <t>VR400-600</t>
    </r>
  </si>
  <si>
    <r>
      <t>Q</t>
    </r>
    <r>
      <rPr>
        <vertAlign val="subscript"/>
        <sz val="10"/>
        <color theme="1"/>
        <rFont val="Arial"/>
        <family val="2"/>
      </rPr>
      <t>VR300-400</t>
    </r>
  </si>
  <si>
    <r>
      <t>Q</t>
    </r>
    <r>
      <rPr>
        <vertAlign val="subscript"/>
        <sz val="10"/>
        <color theme="1"/>
        <rFont val="Arial"/>
        <family val="2"/>
      </rPr>
      <t>VR&lt;300</t>
    </r>
  </si>
  <si>
    <r>
      <t>k.D1</t>
    </r>
    <r>
      <rPr>
        <vertAlign val="subscript"/>
        <sz val="10"/>
        <color theme="1"/>
        <rFont val="Arial"/>
        <family val="2"/>
      </rPr>
      <t>V0-80</t>
    </r>
  </si>
  <si>
    <r>
      <t>k.D1</t>
    </r>
    <r>
      <rPr>
        <vertAlign val="subscript"/>
        <sz val="10"/>
        <color theme="1"/>
        <rFont val="Arial"/>
        <family val="2"/>
      </rPr>
      <t>V80-100</t>
    </r>
  </si>
  <si>
    <r>
      <t>k.D1</t>
    </r>
    <r>
      <rPr>
        <vertAlign val="subscript"/>
        <sz val="10"/>
        <color theme="1"/>
        <rFont val="Arial"/>
        <family val="2"/>
      </rPr>
      <t>V100-120</t>
    </r>
  </si>
  <si>
    <r>
      <t>k.D1</t>
    </r>
    <r>
      <rPr>
        <vertAlign val="subscript"/>
        <sz val="10"/>
        <color theme="1"/>
        <rFont val="Arial"/>
        <family val="2"/>
      </rPr>
      <t>V120-140</t>
    </r>
  </si>
  <si>
    <r>
      <t>k.D1</t>
    </r>
    <r>
      <rPr>
        <vertAlign val="subscript"/>
        <sz val="10"/>
        <color theme="1"/>
        <rFont val="Arial"/>
        <family val="2"/>
      </rPr>
      <t>V140-160</t>
    </r>
  </si>
  <si>
    <r>
      <t>k.D1</t>
    </r>
    <r>
      <rPr>
        <vertAlign val="subscript"/>
        <sz val="10"/>
        <color theme="1"/>
        <rFont val="Arial"/>
        <family val="2"/>
      </rPr>
      <t>R600-1200</t>
    </r>
  </si>
  <si>
    <r>
      <t>k.D1</t>
    </r>
    <r>
      <rPr>
        <vertAlign val="subscript"/>
        <sz val="10"/>
        <color theme="1"/>
        <rFont val="Arial"/>
        <family val="2"/>
      </rPr>
      <t>R400-600</t>
    </r>
  </si>
  <si>
    <r>
      <t>k.D1</t>
    </r>
    <r>
      <rPr>
        <vertAlign val="subscript"/>
        <sz val="10"/>
        <color theme="1"/>
        <rFont val="Arial"/>
        <family val="2"/>
      </rPr>
      <t>R300-400</t>
    </r>
  </si>
  <si>
    <r>
      <t>k.D1</t>
    </r>
    <r>
      <rPr>
        <vertAlign val="subscript"/>
        <sz val="10"/>
        <color theme="1"/>
        <rFont val="Arial"/>
        <family val="2"/>
      </rPr>
      <t>R&lt;300</t>
    </r>
  </si>
  <si>
    <r>
      <t>k.D2</t>
    </r>
    <r>
      <rPr>
        <vertAlign val="subscript"/>
        <sz val="10"/>
        <color theme="1"/>
        <rFont val="Arial"/>
        <family val="2"/>
      </rPr>
      <t>V0-80</t>
    </r>
  </si>
  <si>
    <r>
      <t>k.D2</t>
    </r>
    <r>
      <rPr>
        <vertAlign val="subscript"/>
        <sz val="10"/>
        <color theme="1"/>
        <rFont val="Arial"/>
        <family val="2"/>
      </rPr>
      <t>V80-100</t>
    </r>
  </si>
  <si>
    <r>
      <t>k.D2</t>
    </r>
    <r>
      <rPr>
        <vertAlign val="subscript"/>
        <sz val="10"/>
        <color theme="1"/>
        <rFont val="Arial"/>
        <family val="2"/>
      </rPr>
      <t>V100-120</t>
    </r>
  </si>
  <si>
    <r>
      <t>k.D2</t>
    </r>
    <r>
      <rPr>
        <vertAlign val="subscript"/>
        <sz val="10"/>
        <color theme="1"/>
        <rFont val="Arial"/>
        <family val="2"/>
      </rPr>
      <t>V120-140</t>
    </r>
  </si>
  <si>
    <r>
      <t>k.D2</t>
    </r>
    <r>
      <rPr>
        <vertAlign val="subscript"/>
        <sz val="10"/>
        <color theme="1"/>
        <rFont val="Arial"/>
        <family val="2"/>
      </rPr>
      <t>V140-160</t>
    </r>
  </si>
  <si>
    <t>k.D3</t>
  </si>
  <si>
    <r>
      <t>k.D4.1</t>
    </r>
    <r>
      <rPr>
        <vertAlign val="subscript"/>
        <sz val="10"/>
        <color theme="1"/>
        <rFont val="Arial"/>
        <family val="2"/>
      </rPr>
      <t>R600-1200</t>
    </r>
  </si>
  <si>
    <r>
      <t>k.D4.1</t>
    </r>
    <r>
      <rPr>
        <vertAlign val="subscript"/>
        <sz val="10"/>
        <color theme="1"/>
        <rFont val="Arial"/>
        <family val="2"/>
      </rPr>
      <t>R400-600</t>
    </r>
  </si>
  <si>
    <r>
      <t>k.D4.1</t>
    </r>
    <r>
      <rPr>
        <vertAlign val="subscript"/>
        <sz val="10"/>
        <color theme="1"/>
        <rFont val="Arial"/>
        <family val="2"/>
      </rPr>
      <t>R300-400</t>
    </r>
  </si>
  <si>
    <r>
      <t>k.D4.1</t>
    </r>
    <r>
      <rPr>
        <vertAlign val="subscript"/>
        <sz val="10"/>
        <color theme="1"/>
        <rFont val="Arial"/>
        <family val="2"/>
      </rPr>
      <t>R&lt;300</t>
    </r>
  </si>
  <si>
    <r>
      <t>k.D4.2</t>
    </r>
    <r>
      <rPr>
        <vertAlign val="subscript"/>
        <sz val="10"/>
        <color theme="1"/>
        <rFont val="Arial"/>
        <family val="2"/>
      </rPr>
      <t>R400-600</t>
    </r>
  </si>
  <si>
    <r>
      <t>k.D4.2</t>
    </r>
    <r>
      <rPr>
        <vertAlign val="subscript"/>
        <sz val="10"/>
        <color theme="1"/>
        <rFont val="Arial"/>
        <family val="2"/>
      </rPr>
      <t>R300-400</t>
    </r>
  </si>
  <si>
    <r>
      <t>k.D4.2</t>
    </r>
    <r>
      <rPr>
        <vertAlign val="subscript"/>
        <sz val="10"/>
        <color theme="1"/>
        <rFont val="Arial"/>
        <family val="2"/>
      </rPr>
      <t>R&lt;300</t>
    </r>
  </si>
  <si>
    <t>k.D5</t>
  </si>
  <si>
    <r>
      <t xml:space="preserve">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75 + b</t>
    </r>
    <r>
      <rPr>
        <vertAlign val="subscript"/>
        <sz val="8"/>
        <color theme="1"/>
        <rFont val="Arial"/>
        <family val="2"/>
      </rPr>
      <t>Q</t>
    </r>
  </si>
  <si>
    <r>
      <t xml:space="preserve">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90 + b</t>
    </r>
    <r>
      <rPr>
        <vertAlign val="subscript"/>
        <sz val="8"/>
        <color theme="1"/>
        <rFont val="Arial"/>
        <family val="2"/>
      </rPr>
      <t>Q</t>
    </r>
  </si>
  <si>
    <r>
      <t xml:space="preserve">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110 + b</t>
    </r>
    <r>
      <rPr>
        <vertAlign val="subscript"/>
        <sz val="8"/>
        <color theme="1"/>
        <rFont val="Arial"/>
        <family val="2"/>
      </rPr>
      <t>Q</t>
    </r>
  </si>
  <si>
    <r>
      <t xml:space="preserve">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130 + b</t>
    </r>
    <r>
      <rPr>
        <vertAlign val="subscript"/>
        <sz val="8"/>
        <color theme="1"/>
        <rFont val="Arial"/>
        <family val="2"/>
      </rPr>
      <t>Q</t>
    </r>
  </si>
  <si>
    <r>
      <t xml:space="preserve">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150 + b</t>
    </r>
    <r>
      <rPr>
        <vertAlign val="subscript"/>
        <sz val="8"/>
        <color theme="1"/>
        <rFont val="Arial"/>
        <family val="2"/>
      </rPr>
      <t>Q</t>
    </r>
  </si>
  <si>
    <r>
      <t xml:space="preserve">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200 + b</t>
    </r>
    <r>
      <rPr>
        <vertAlign val="subscript"/>
        <sz val="8"/>
        <color theme="1"/>
        <rFont val="Arial"/>
        <family val="2"/>
      </rPr>
      <t>Q</t>
    </r>
  </si>
  <si>
    <r>
      <t xml:space="preserve">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V</t>
    </r>
    <r>
      <rPr>
        <vertAlign val="subscript"/>
        <sz val="8"/>
        <color theme="1"/>
        <rFont val="Arial"/>
        <family val="2"/>
      </rPr>
      <t>R600-1200</t>
    </r>
    <r>
      <rPr>
        <sz val="8"/>
        <color theme="1"/>
        <rFont val="Arial"/>
        <family val="2"/>
      </rPr>
      <t xml:space="preserve"> + b</t>
    </r>
    <r>
      <rPr>
        <vertAlign val="subscript"/>
        <sz val="8"/>
        <color theme="1"/>
        <rFont val="Arial"/>
        <family val="2"/>
      </rPr>
      <t xml:space="preserve">Q  </t>
    </r>
    <r>
      <rPr>
        <sz val="8"/>
        <color theme="1"/>
        <rFont val="Arial"/>
        <family val="2"/>
      </rPr>
      <t xml:space="preserve"> bzw. 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V</t>
    </r>
    <r>
      <rPr>
        <vertAlign val="subscript"/>
        <sz val="8"/>
        <color theme="1"/>
        <rFont val="Arial"/>
        <family val="2"/>
      </rPr>
      <t>zul</t>
    </r>
    <r>
      <rPr>
        <sz val="8"/>
        <color theme="1"/>
        <rFont val="Arial"/>
        <family val="2"/>
      </rPr>
      <t xml:space="preserve"> + b</t>
    </r>
    <r>
      <rPr>
        <vertAlign val="subscript"/>
        <sz val="8"/>
        <color theme="1"/>
        <rFont val="Arial"/>
        <family val="2"/>
      </rPr>
      <t>Q</t>
    </r>
  </si>
  <si>
    <r>
      <t>D1</t>
    </r>
    <r>
      <rPr>
        <vertAlign val="subscript"/>
        <sz val="10"/>
        <color theme="1"/>
        <rFont val="Arial"/>
        <family val="2"/>
      </rPr>
      <t>V&gt;160</t>
    </r>
  </si>
  <si>
    <r>
      <t>D2</t>
    </r>
    <r>
      <rPr>
        <vertAlign val="subscript"/>
        <sz val="10"/>
        <color theme="1"/>
        <rFont val="Arial"/>
        <family val="2"/>
      </rPr>
      <t>V&gt;160</t>
    </r>
  </si>
  <si>
    <r>
      <t>k.D1</t>
    </r>
    <r>
      <rPr>
        <vertAlign val="subscript"/>
        <sz val="10"/>
        <color theme="1"/>
        <rFont val="Arial"/>
        <family val="2"/>
      </rPr>
      <t>V&gt;160</t>
    </r>
  </si>
  <si>
    <r>
      <t>k.D2</t>
    </r>
    <r>
      <rPr>
        <vertAlign val="subscript"/>
        <sz val="10"/>
        <color theme="1"/>
        <rFont val="Arial"/>
        <family val="2"/>
      </rPr>
      <t>V&gt;160</t>
    </r>
  </si>
  <si>
    <t>V&gt;160</t>
  </si>
  <si>
    <t>R</t>
  </si>
  <si>
    <r>
      <t xml:space="preserve">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V</t>
    </r>
    <r>
      <rPr>
        <vertAlign val="subscript"/>
        <sz val="8"/>
        <color theme="1"/>
        <rFont val="Arial"/>
        <family val="2"/>
      </rPr>
      <t>R400-600</t>
    </r>
    <r>
      <rPr>
        <sz val="8"/>
        <color theme="1"/>
        <rFont val="Arial"/>
        <family val="2"/>
      </rPr>
      <t xml:space="preserve"> + b</t>
    </r>
    <r>
      <rPr>
        <vertAlign val="subscript"/>
        <sz val="8"/>
        <color theme="1"/>
        <rFont val="Arial"/>
        <family val="2"/>
      </rPr>
      <t>Q</t>
    </r>
    <r>
      <rPr>
        <sz val="8"/>
        <color theme="1"/>
        <rFont val="Arial"/>
        <family val="2"/>
      </rPr>
      <t xml:space="preserve">    bzw. 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V</t>
    </r>
    <r>
      <rPr>
        <vertAlign val="subscript"/>
        <sz val="8"/>
        <color theme="1"/>
        <rFont val="Arial"/>
        <family val="2"/>
      </rPr>
      <t>zul</t>
    </r>
    <r>
      <rPr>
        <sz val="8"/>
        <color theme="1"/>
        <rFont val="Arial"/>
        <family val="2"/>
      </rPr>
      <t xml:space="preserve"> + b</t>
    </r>
    <r>
      <rPr>
        <vertAlign val="subscript"/>
        <sz val="8"/>
        <color theme="1"/>
        <rFont val="Arial"/>
        <family val="2"/>
      </rPr>
      <t>Q</t>
    </r>
  </si>
  <si>
    <r>
      <t xml:space="preserve">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V</t>
    </r>
    <r>
      <rPr>
        <vertAlign val="subscript"/>
        <sz val="8"/>
        <color theme="1"/>
        <rFont val="Arial"/>
        <family val="2"/>
      </rPr>
      <t>R300-400</t>
    </r>
    <r>
      <rPr>
        <sz val="8"/>
        <color theme="1"/>
        <rFont val="Arial"/>
        <family val="2"/>
      </rPr>
      <t xml:space="preserve"> + b</t>
    </r>
    <r>
      <rPr>
        <vertAlign val="subscript"/>
        <sz val="8"/>
        <color theme="1"/>
        <rFont val="Arial"/>
        <family val="2"/>
      </rPr>
      <t>Q</t>
    </r>
    <r>
      <rPr>
        <sz val="8"/>
        <color theme="1"/>
        <rFont val="Arial"/>
        <family val="2"/>
      </rPr>
      <t xml:space="preserve">    bzw. 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V</t>
    </r>
    <r>
      <rPr>
        <vertAlign val="subscript"/>
        <sz val="8"/>
        <color theme="1"/>
        <rFont val="Arial"/>
        <family val="2"/>
      </rPr>
      <t>zul</t>
    </r>
    <r>
      <rPr>
        <sz val="8"/>
        <color theme="1"/>
        <rFont val="Arial"/>
        <family val="2"/>
      </rPr>
      <t xml:space="preserve"> + b</t>
    </r>
    <r>
      <rPr>
        <vertAlign val="subscript"/>
        <sz val="8"/>
        <color theme="1"/>
        <rFont val="Arial"/>
        <family val="2"/>
      </rPr>
      <t>Q</t>
    </r>
  </si>
  <si>
    <r>
      <t xml:space="preserve">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V</t>
    </r>
    <r>
      <rPr>
        <vertAlign val="subscript"/>
        <sz val="8"/>
        <color theme="1"/>
        <rFont val="Arial"/>
        <family val="2"/>
      </rPr>
      <t>R&lt;300</t>
    </r>
    <r>
      <rPr>
        <sz val="8"/>
        <color theme="1"/>
        <rFont val="Arial"/>
        <family val="2"/>
      </rPr>
      <t xml:space="preserve"> + b</t>
    </r>
    <r>
      <rPr>
        <vertAlign val="subscript"/>
        <sz val="8"/>
        <color theme="1"/>
        <rFont val="Arial"/>
        <family val="2"/>
      </rPr>
      <t xml:space="preserve">Q          </t>
    </r>
    <r>
      <rPr>
        <sz val="8"/>
        <color theme="1"/>
        <rFont val="Arial"/>
        <family val="2"/>
      </rPr>
      <t>bzw. 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V</t>
    </r>
    <r>
      <rPr>
        <vertAlign val="subscript"/>
        <sz val="8"/>
        <color theme="1"/>
        <rFont val="Arial"/>
        <family val="2"/>
      </rPr>
      <t>zul</t>
    </r>
    <r>
      <rPr>
        <sz val="8"/>
        <color theme="1"/>
        <rFont val="Arial"/>
        <family val="2"/>
      </rPr>
      <t xml:space="preserve"> + b</t>
    </r>
    <r>
      <rPr>
        <vertAlign val="subscript"/>
        <sz val="8"/>
        <color theme="1"/>
        <rFont val="Arial"/>
        <family val="2"/>
      </rPr>
      <t>Q</t>
    </r>
  </si>
  <si>
    <r>
      <t>A</t>
    </r>
    <r>
      <rPr>
        <vertAlign val="subscript"/>
        <sz val="10"/>
        <color theme="1"/>
        <rFont val="Arial"/>
        <family val="2"/>
      </rPr>
      <t>Rad,eff</t>
    </r>
  </si>
  <si>
    <r>
      <t>f</t>
    </r>
    <r>
      <rPr>
        <vertAlign val="subscript"/>
        <sz val="8"/>
        <color theme="1"/>
        <rFont val="Arial"/>
        <family val="2"/>
      </rPr>
      <t>u</t>
    </r>
    <r>
      <rPr>
        <sz val="8"/>
        <color theme="1"/>
        <rFont val="Arial"/>
        <family val="2"/>
      </rPr>
      <t>W</t>
    </r>
    <r>
      <rPr>
        <vertAlign val="sub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Σm  </t>
    </r>
    <r>
      <rPr>
        <vertAlign val="subscript"/>
        <sz val="8"/>
        <color theme="1"/>
        <rFont val="Arial"/>
        <family val="2"/>
      </rPr>
      <t xml:space="preserve">* </t>
    </r>
    <r>
      <rPr>
        <sz val="8"/>
        <color theme="1"/>
        <rFont val="Arial"/>
        <family val="2"/>
      </rPr>
      <t xml:space="preserve"> f</t>
    </r>
    <r>
      <rPr>
        <vertAlign val="subscript"/>
        <sz val="8"/>
        <color theme="1"/>
        <rFont val="Arial"/>
        <family val="2"/>
      </rPr>
      <t>u</t>
    </r>
    <r>
      <rPr>
        <sz val="8"/>
        <color theme="1"/>
        <rFont val="Arial"/>
        <family val="2"/>
      </rPr>
      <t>W</t>
    </r>
    <r>
      <rPr>
        <vertAlign val="sub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>C</t>
    </r>
    <r>
      <rPr>
        <vertAlign val="subscript"/>
        <sz val="8"/>
        <color theme="1"/>
        <rFont val="Arial"/>
        <family val="2"/>
      </rPr>
      <t>x</t>
    </r>
    <r>
      <rPr>
        <sz val="8"/>
        <color theme="1"/>
        <rFont val="Arial"/>
        <family val="2"/>
      </rPr>
      <t xml:space="preserve"> 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 f</t>
    </r>
    <r>
      <rPr>
        <vertAlign val="subscript"/>
        <sz val="8"/>
        <color theme="1"/>
        <rFont val="Arial"/>
        <family val="2"/>
      </rPr>
      <t>u</t>
    </r>
    <r>
      <rPr>
        <sz val="8"/>
        <color theme="1"/>
        <rFont val="Arial"/>
        <family val="2"/>
      </rPr>
      <t>W</t>
    </r>
    <r>
      <rPr>
        <vertAlign val="sub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>μ</t>
    </r>
  </si>
  <si>
    <r>
      <t>n</t>
    </r>
    <r>
      <rPr>
        <vertAlign val="subscript"/>
        <sz val="10"/>
        <color theme="1"/>
        <rFont val="Arial"/>
        <family val="2"/>
      </rPr>
      <t>RS</t>
    </r>
  </si>
  <si>
    <r>
      <t>n</t>
    </r>
    <r>
      <rPr>
        <vertAlign val="subscript"/>
        <sz val="10"/>
        <color theme="1"/>
        <rFont val="Arial"/>
        <family val="2"/>
      </rPr>
      <t>FW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</si>
  <si>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V75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3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</si>
  <si>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V90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3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</si>
  <si>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V110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3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</si>
  <si>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V130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3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</si>
  <si>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V150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3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</si>
  <si>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V200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3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</si>
  <si>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VR600-1200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3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</si>
  <si>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VR400-600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3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</si>
  <si>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VR300-400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3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</si>
  <si>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VR&lt;300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3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</si>
  <si>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V75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1.2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</si>
  <si>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V90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1.2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</si>
  <si>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V110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1.2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</si>
  <si>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V130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1.2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</si>
  <si>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V150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1.2</t>
    </r>
  </si>
  <si>
    <r>
      <t xml:space="preserve"> n</t>
    </r>
    <r>
      <rPr>
        <vertAlign val="subscript"/>
        <sz val="8"/>
        <color theme="1"/>
        <rFont val="Arial"/>
        <family val="2"/>
      </rPr>
      <t>RS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Q</t>
    </r>
    <r>
      <rPr>
        <vertAlign val="subscript"/>
        <sz val="8"/>
        <color theme="1"/>
        <rFont val="Arial"/>
        <family val="2"/>
      </rPr>
      <t>V200</t>
    </r>
    <r>
      <rPr>
        <sz val="8"/>
        <color theme="1"/>
        <rFont val="Arial"/>
        <family val="2"/>
      </rPr>
      <t>)</t>
    </r>
    <r>
      <rPr>
        <vertAlign val="superscript"/>
        <sz val="8"/>
        <color theme="1"/>
        <rFont val="Arial"/>
        <family val="2"/>
      </rPr>
      <t>1.2</t>
    </r>
  </si>
  <si>
    <r>
      <t>n</t>
    </r>
    <r>
      <rPr>
        <vertAlign val="subscript"/>
        <sz val="10"/>
        <color theme="1"/>
        <rFont val="Arial"/>
        <family val="2"/>
      </rPr>
      <t>RS/FW</t>
    </r>
  </si>
  <si>
    <r>
      <t>n</t>
    </r>
    <r>
      <rPr>
        <vertAlign val="subscript"/>
        <sz val="10"/>
        <color theme="1"/>
        <rFont val="Arial"/>
        <family val="2"/>
      </rPr>
      <t>TRS</t>
    </r>
  </si>
  <si>
    <r>
      <t xml:space="preserve"> P</t>
    </r>
    <r>
      <rPr>
        <vertAlign val="subscript"/>
        <sz val="8"/>
        <color theme="1"/>
        <rFont val="Arial"/>
        <family val="2"/>
      </rPr>
      <t>Rad</t>
    </r>
    <r>
      <rPr>
        <sz val="8"/>
        <color theme="1"/>
        <rFont val="Arial"/>
        <family val="2"/>
      </rPr>
      <t xml:space="preserve"> / A</t>
    </r>
    <r>
      <rPr>
        <vertAlign val="subscript"/>
        <sz val="8"/>
        <color theme="1"/>
        <rFont val="Arial"/>
        <family val="2"/>
      </rPr>
      <t>Rad,eff</t>
    </r>
  </si>
  <si>
    <r>
      <t>k.D1</t>
    </r>
    <r>
      <rPr>
        <vertAlign val="subscript"/>
        <sz val="8"/>
        <color theme="1"/>
        <rFont val="Arial"/>
        <family val="2"/>
      </rPr>
      <t>V0-80</t>
    </r>
  </si>
  <si>
    <r>
      <t>k.D2</t>
    </r>
    <r>
      <rPr>
        <vertAlign val="subscript"/>
        <sz val="8"/>
        <color theme="1"/>
        <rFont val="Arial"/>
        <family val="2"/>
      </rPr>
      <t>V0-80</t>
    </r>
  </si>
  <si>
    <r>
      <t>k.D1</t>
    </r>
    <r>
      <rPr>
        <vertAlign val="subscript"/>
        <sz val="8"/>
        <color theme="1"/>
        <rFont val="Arial"/>
        <family val="2"/>
      </rPr>
      <t>V80-100</t>
    </r>
  </si>
  <si>
    <r>
      <t>k.D2</t>
    </r>
    <r>
      <rPr>
        <vertAlign val="subscript"/>
        <sz val="8"/>
        <color theme="1"/>
        <rFont val="Arial"/>
        <family val="2"/>
      </rPr>
      <t>V80-100</t>
    </r>
  </si>
  <si>
    <r>
      <t>k.D1</t>
    </r>
    <r>
      <rPr>
        <vertAlign val="subscript"/>
        <sz val="8"/>
        <color theme="1"/>
        <rFont val="Arial"/>
        <family val="2"/>
      </rPr>
      <t>V100-120</t>
    </r>
  </si>
  <si>
    <r>
      <t>k.D2</t>
    </r>
    <r>
      <rPr>
        <vertAlign val="subscript"/>
        <sz val="8"/>
        <color theme="1"/>
        <rFont val="Arial"/>
        <family val="2"/>
      </rPr>
      <t>V100-120</t>
    </r>
  </si>
  <si>
    <r>
      <t>k.D1</t>
    </r>
    <r>
      <rPr>
        <vertAlign val="subscript"/>
        <sz val="8"/>
        <color theme="1"/>
        <rFont val="Arial"/>
        <family val="2"/>
      </rPr>
      <t>V120-140</t>
    </r>
  </si>
  <si>
    <r>
      <t>k.D2</t>
    </r>
    <r>
      <rPr>
        <vertAlign val="subscript"/>
        <sz val="8"/>
        <color theme="1"/>
        <rFont val="Arial"/>
        <family val="2"/>
      </rPr>
      <t>V120-140</t>
    </r>
  </si>
  <si>
    <r>
      <t>k.D1</t>
    </r>
    <r>
      <rPr>
        <vertAlign val="subscript"/>
        <sz val="8"/>
        <color theme="1"/>
        <rFont val="Arial"/>
        <family val="2"/>
      </rPr>
      <t>V140-160</t>
    </r>
  </si>
  <si>
    <r>
      <t>k.D2</t>
    </r>
    <r>
      <rPr>
        <vertAlign val="subscript"/>
        <sz val="8"/>
        <color theme="1"/>
        <rFont val="Arial"/>
        <family val="2"/>
      </rPr>
      <t>V140-160</t>
    </r>
  </si>
  <si>
    <r>
      <t>k.D1</t>
    </r>
    <r>
      <rPr>
        <vertAlign val="subscript"/>
        <sz val="8"/>
        <color theme="1"/>
        <rFont val="Arial"/>
        <family val="2"/>
      </rPr>
      <t>V&lt;200</t>
    </r>
  </si>
  <si>
    <r>
      <t>k.D2</t>
    </r>
    <r>
      <rPr>
        <vertAlign val="subscript"/>
        <sz val="8"/>
        <color theme="1"/>
        <rFont val="Arial"/>
        <family val="2"/>
      </rPr>
      <t>V&lt;200</t>
    </r>
  </si>
  <si>
    <r>
      <t>k.D1</t>
    </r>
    <r>
      <rPr>
        <vertAlign val="subscript"/>
        <sz val="8"/>
        <color theme="1"/>
        <rFont val="Arial"/>
        <family val="2"/>
      </rPr>
      <t>R600-1200</t>
    </r>
  </si>
  <si>
    <r>
      <t>k.D4.1</t>
    </r>
    <r>
      <rPr>
        <vertAlign val="subscript"/>
        <sz val="8"/>
        <color theme="1"/>
        <rFont val="Arial"/>
        <family val="2"/>
      </rPr>
      <t>R600-1200</t>
    </r>
  </si>
  <si>
    <r>
      <t>k.D1</t>
    </r>
    <r>
      <rPr>
        <vertAlign val="subscript"/>
        <sz val="8"/>
        <color theme="1"/>
        <rFont val="Arial"/>
        <family val="2"/>
      </rPr>
      <t>R400-600</t>
    </r>
  </si>
  <si>
    <r>
      <t>k.D4.1</t>
    </r>
    <r>
      <rPr>
        <vertAlign val="subscript"/>
        <sz val="8"/>
        <color theme="1"/>
        <rFont val="Arial"/>
        <family val="2"/>
      </rPr>
      <t>R400-600</t>
    </r>
  </si>
  <si>
    <r>
      <t>k.D4.2</t>
    </r>
    <r>
      <rPr>
        <vertAlign val="subscript"/>
        <sz val="8"/>
        <color theme="1"/>
        <rFont val="Arial"/>
        <family val="2"/>
      </rPr>
      <t>R400-600</t>
    </r>
  </si>
  <si>
    <r>
      <t>k.D1</t>
    </r>
    <r>
      <rPr>
        <vertAlign val="subscript"/>
        <sz val="8"/>
        <color theme="1"/>
        <rFont val="Arial"/>
        <family val="2"/>
      </rPr>
      <t>R300-400</t>
    </r>
  </si>
  <si>
    <r>
      <t>k.D4.1</t>
    </r>
    <r>
      <rPr>
        <vertAlign val="subscript"/>
        <sz val="8"/>
        <color theme="1"/>
        <rFont val="Arial"/>
        <family val="2"/>
      </rPr>
      <t>R300-400</t>
    </r>
  </si>
  <si>
    <r>
      <t>k.D4.2</t>
    </r>
    <r>
      <rPr>
        <vertAlign val="subscript"/>
        <sz val="8"/>
        <color theme="1"/>
        <rFont val="Arial"/>
        <family val="2"/>
      </rPr>
      <t>R300-400</t>
    </r>
  </si>
  <si>
    <r>
      <t>k.D1</t>
    </r>
    <r>
      <rPr>
        <vertAlign val="subscript"/>
        <sz val="8"/>
        <color theme="1"/>
        <rFont val="Arial"/>
        <family val="2"/>
      </rPr>
      <t>R&lt;300</t>
    </r>
  </si>
  <si>
    <r>
      <t>k.D4.1</t>
    </r>
    <r>
      <rPr>
        <vertAlign val="subscript"/>
        <sz val="8"/>
        <color theme="1"/>
        <rFont val="Arial"/>
        <family val="2"/>
      </rPr>
      <t>R&lt;300</t>
    </r>
  </si>
  <si>
    <r>
      <t>k.D4.2</t>
    </r>
    <r>
      <rPr>
        <vertAlign val="subscript"/>
        <sz val="8"/>
        <color theme="1"/>
        <rFont val="Arial"/>
        <family val="2"/>
      </rPr>
      <t>R&lt;300</t>
    </r>
  </si>
  <si>
    <r>
      <t>T</t>
    </r>
    <r>
      <rPr>
        <vertAlign val="subscript"/>
        <sz val="10"/>
        <color theme="1"/>
        <rFont val="Arial"/>
        <family val="2"/>
      </rPr>
      <t>pv</t>
    </r>
  </si>
  <si>
    <r>
      <t>V</t>
    </r>
    <r>
      <rPr>
        <vertAlign val="subscript"/>
        <sz val="10"/>
        <color theme="1"/>
        <rFont val="Arial"/>
        <family val="2"/>
      </rPr>
      <t>Wzul</t>
    </r>
  </si>
  <si>
    <r>
      <t>Q</t>
    </r>
    <r>
      <rPr>
        <vertAlign val="subscript"/>
        <sz val="10"/>
        <color theme="1"/>
        <rFont val="Arial"/>
        <family val="2"/>
      </rPr>
      <t>W185</t>
    </r>
  </si>
  <si>
    <r>
      <t xml:space="preserve"> a</t>
    </r>
    <r>
      <rPr>
        <vertAlign val="subscript"/>
        <sz val="8"/>
        <color theme="1"/>
        <rFont val="Arial"/>
        <family val="2"/>
      </rPr>
      <t xml:space="preserve">Q * </t>
    </r>
    <r>
      <rPr>
        <sz val="8"/>
        <color theme="1"/>
        <rFont val="Arial"/>
        <family val="2"/>
      </rPr>
      <t>V</t>
    </r>
    <r>
      <rPr>
        <vertAlign val="subscript"/>
        <sz val="8"/>
        <color theme="1"/>
        <rFont val="Arial"/>
        <family val="2"/>
      </rPr>
      <t>Wzul</t>
    </r>
    <r>
      <rPr>
        <sz val="8"/>
        <color theme="1"/>
        <rFont val="Arial"/>
        <family val="2"/>
      </rPr>
      <t xml:space="preserve"> + b</t>
    </r>
    <r>
      <rPr>
        <vertAlign val="subscript"/>
        <sz val="8"/>
        <color theme="1"/>
        <rFont val="Arial"/>
        <family val="2"/>
      </rPr>
      <t>Q</t>
    </r>
  </si>
  <si>
    <r>
      <t>Y</t>
    </r>
    <r>
      <rPr>
        <vertAlign val="subscript"/>
        <sz val="10"/>
        <color theme="1"/>
        <rFont val="Arial"/>
        <family val="2"/>
      </rPr>
      <t>W185</t>
    </r>
  </si>
  <si>
    <r>
      <t xml:space="preserve"> n</t>
    </r>
    <r>
      <rPr>
        <vertAlign val="subscript"/>
        <sz val="8"/>
        <color theme="1"/>
        <rFont val="Arial"/>
        <family val="2"/>
      </rPr>
      <t>FW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( 0.5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Q</t>
    </r>
    <r>
      <rPr>
        <vertAlign val="subscript"/>
        <sz val="8"/>
        <color theme="1"/>
        <rFont val="Arial"/>
        <family val="2"/>
      </rPr>
      <t>W185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+ 0.5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Y</t>
    </r>
    <r>
      <rPr>
        <vertAlign val="subscript"/>
        <sz val="8"/>
        <color theme="1"/>
        <rFont val="Arial"/>
        <family val="2"/>
      </rPr>
      <t>W185</t>
    </r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 xml:space="preserve">) </t>
    </r>
    <r>
      <rPr>
        <vertAlign val="superscript"/>
        <sz val="8"/>
        <color theme="1"/>
        <rFont val="Arial"/>
        <family val="2"/>
      </rPr>
      <t>0.5</t>
    </r>
  </si>
  <si>
    <r>
      <t>W</t>
    </r>
    <r>
      <rPr>
        <vertAlign val="subscript"/>
        <sz val="10"/>
        <color theme="1"/>
        <rFont val="Arial"/>
        <family val="2"/>
      </rPr>
      <t>b,R&lt;300</t>
    </r>
  </si>
  <si>
    <r>
      <t>W</t>
    </r>
    <r>
      <rPr>
        <vertAlign val="subscript"/>
        <sz val="10"/>
        <color theme="1"/>
        <rFont val="Arial"/>
        <family val="2"/>
      </rPr>
      <t>b,R300-400</t>
    </r>
  </si>
  <si>
    <r>
      <t>W</t>
    </r>
    <r>
      <rPr>
        <vertAlign val="subscript"/>
        <sz val="10"/>
        <color theme="1"/>
        <rFont val="Arial"/>
        <family val="2"/>
      </rPr>
      <t>b,R400-600</t>
    </r>
  </si>
  <si>
    <r>
      <t>W</t>
    </r>
    <r>
      <rPr>
        <vertAlign val="subscript"/>
        <sz val="10"/>
        <color theme="1"/>
        <rFont val="Arial"/>
        <family val="2"/>
      </rPr>
      <t>b,R600-1200</t>
    </r>
  </si>
  <si>
    <t>TZ</t>
  </si>
  <si>
    <t>N</t>
  </si>
  <si>
    <t>PWg</t>
  </si>
  <si>
    <t>Lok</t>
  </si>
  <si>
    <t>A</t>
  </si>
  <si>
    <t>GWg</t>
  </si>
  <si>
    <r>
      <t>f</t>
    </r>
    <r>
      <rPr>
        <vertAlign val="subscript"/>
        <sz val="8"/>
        <color theme="1"/>
        <rFont val="Arial"/>
        <family val="2"/>
      </rPr>
      <t>u</t>
    </r>
    <r>
      <rPr>
        <sz val="8"/>
        <color theme="1"/>
        <rFont val="Arial"/>
        <family val="2"/>
      </rPr>
      <t>Y</t>
    </r>
    <r>
      <rPr>
        <vertAlign val="subscript"/>
        <sz val="8"/>
        <color theme="1"/>
        <rFont val="Arial"/>
        <family val="2"/>
      </rPr>
      <t>W185</t>
    </r>
    <r>
      <rPr>
        <sz val="8"/>
        <color theme="1"/>
        <rFont val="Arial"/>
        <family val="2"/>
      </rPr>
      <t xml:space="preserve">Σm  </t>
    </r>
    <r>
      <rPr>
        <vertAlign val="subscript"/>
        <sz val="8"/>
        <color theme="1"/>
        <rFont val="Arial"/>
        <family val="2"/>
      </rPr>
      <t xml:space="preserve">* </t>
    </r>
    <r>
      <rPr>
        <sz val="8"/>
        <color theme="1"/>
        <rFont val="Arial"/>
        <family val="2"/>
      </rPr>
      <t xml:space="preserve"> f</t>
    </r>
    <r>
      <rPr>
        <vertAlign val="subscript"/>
        <sz val="8"/>
        <color theme="1"/>
        <rFont val="Arial"/>
        <family val="2"/>
      </rPr>
      <t>u</t>
    </r>
    <r>
      <rPr>
        <sz val="8"/>
        <color theme="1"/>
        <rFont val="Arial"/>
        <family val="2"/>
      </rPr>
      <t>Y</t>
    </r>
    <r>
      <rPr>
        <vertAlign val="subscript"/>
        <sz val="8"/>
        <color theme="1"/>
        <rFont val="Arial"/>
        <family val="2"/>
      </rPr>
      <t>W185</t>
    </r>
    <r>
      <rPr>
        <sz val="8"/>
        <color theme="1"/>
        <rFont val="Arial"/>
        <family val="2"/>
      </rPr>
      <t>C</t>
    </r>
    <r>
      <rPr>
        <vertAlign val="subscript"/>
        <sz val="8"/>
        <color theme="1"/>
        <rFont val="Arial"/>
        <family val="2"/>
      </rPr>
      <t>x</t>
    </r>
    <r>
      <rPr>
        <sz val="8"/>
        <color theme="1"/>
        <rFont val="Arial"/>
        <family val="2"/>
      </rPr>
      <t xml:space="preserve"> 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 f</t>
    </r>
    <r>
      <rPr>
        <vertAlign val="subscript"/>
        <sz val="8"/>
        <color theme="1"/>
        <rFont val="Arial"/>
        <family val="2"/>
      </rPr>
      <t>u</t>
    </r>
    <r>
      <rPr>
        <sz val="8"/>
        <color theme="1"/>
        <rFont val="Arial"/>
        <family val="2"/>
      </rPr>
      <t>Y</t>
    </r>
    <r>
      <rPr>
        <vertAlign val="subscript"/>
        <sz val="8"/>
        <color theme="1"/>
        <rFont val="Arial"/>
        <family val="2"/>
      </rPr>
      <t>W185</t>
    </r>
    <r>
      <rPr>
        <sz val="8"/>
        <color theme="1"/>
        <rFont val="Arial"/>
        <family val="2"/>
      </rPr>
      <t xml:space="preserve">SD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 f</t>
    </r>
    <r>
      <rPr>
        <vertAlign val="subscript"/>
        <sz val="8"/>
        <color theme="1"/>
        <rFont val="Arial"/>
        <family val="2"/>
      </rPr>
      <t>u</t>
    </r>
    <r>
      <rPr>
        <sz val="8"/>
        <color theme="1"/>
        <rFont val="Arial"/>
        <family val="2"/>
      </rPr>
      <t>Y</t>
    </r>
    <r>
      <rPr>
        <vertAlign val="subscript"/>
        <sz val="8"/>
        <color theme="1"/>
        <rFont val="Arial"/>
        <family val="2"/>
      </rPr>
      <t>W185</t>
    </r>
    <r>
      <rPr>
        <sz val="8"/>
        <color theme="1"/>
        <rFont val="Arial"/>
        <family val="2"/>
      </rPr>
      <t>J</t>
    </r>
    <r>
      <rPr>
        <vertAlign val="subscript"/>
        <sz val="8"/>
        <color theme="1"/>
        <rFont val="Arial"/>
        <family val="2"/>
      </rPr>
      <t>zz</t>
    </r>
    <r>
      <rPr>
        <sz val="8"/>
        <color theme="1"/>
        <rFont val="Arial"/>
        <family val="2"/>
      </rPr>
      <t xml:space="preserve"> </t>
    </r>
    <r>
      <rPr>
        <vertAlign val="subscript"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 xml:space="preserve">  f</t>
    </r>
    <r>
      <rPr>
        <vertAlign val="subscript"/>
        <sz val="8"/>
        <color theme="1"/>
        <rFont val="Arial"/>
        <family val="2"/>
      </rPr>
      <t>u</t>
    </r>
    <r>
      <rPr>
        <sz val="8"/>
        <color theme="1"/>
        <rFont val="Arial"/>
        <family val="2"/>
      </rPr>
      <t>Y</t>
    </r>
    <r>
      <rPr>
        <vertAlign val="subscript"/>
        <sz val="8"/>
        <color theme="1"/>
        <rFont val="Arial"/>
        <family val="2"/>
      </rPr>
      <t>W185</t>
    </r>
    <r>
      <rPr>
        <sz val="8"/>
        <color theme="1"/>
        <rFont val="Arial"/>
        <family val="2"/>
      </rPr>
      <t>μ</t>
    </r>
  </si>
  <si>
    <t>S</t>
  </si>
  <si>
    <r>
      <t>Crel</t>
    </r>
    <r>
      <rPr>
        <b/>
        <vertAlign val="subscript"/>
        <sz val="10"/>
        <color theme="1"/>
        <rFont val="Arial"/>
        <family val="2"/>
      </rPr>
      <t>R600-1200</t>
    </r>
  </si>
  <si>
    <t>CHF/km</t>
  </si>
  <si>
    <r>
      <t>Crel</t>
    </r>
    <r>
      <rPr>
        <b/>
        <vertAlign val="subscript"/>
        <sz val="10"/>
        <color theme="1"/>
        <rFont val="Arial"/>
        <family val="2"/>
      </rPr>
      <t>R400-600</t>
    </r>
  </si>
  <si>
    <r>
      <t>Crel</t>
    </r>
    <r>
      <rPr>
        <b/>
        <vertAlign val="subscript"/>
        <sz val="10"/>
        <color theme="1"/>
        <rFont val="Arial"/>
        <family val="2"/>
      </rPr>
      <t>R300-400</t>
    </r>
  </si>
  <si>
    <r>
      <t>Crel</t>
    </r>
    <r>
      <rPr>
        <b/>
        <vertAlign val="subscript"/>
        <sz val="10"/>
        <color theme="1"/>
        <rFont val="Arial"/>
        <family val="2"/>
      </rPr>
      <t>R&lt;300</t>
    </r>
  </si>
  <si>
    <r>
      <t>C</t>
    </r>
    <r>
      <rPr>
        <b/>
        <vertAlign val="subscript"/>
        <sz val="10"/>
        <color theme="1"/>
        <rFont val="Arial"/>
        <family val="2"/>
      </rPr>
      <t>R&lt;300</t>
    </r>
  </si>
  <si>
    <r>
      <t>C</t>
    </r>
    <r>
      <rPr>
        <b/>
        <vertAlign val="subscript"/>
        <sz val="10"/>
        <color theme="1"/>
        <rFont val="Arial"/>
        <family val="2"/>
      </rPr>
      <t>R300-400</t>
    </r>
  </si>
  <si>
    <r>
      <t>C</t>
    </r>
    <r>
      <rPr>
        <b/>
        <vertAlign val="subscript"/>
        <sz val="10"/>
        <color theme="1"/>
        <rFont val="Arial"/>
        <family val="2"/>
      </rPr>
      <t>R400-600</t>
    </r>
  </si>
  <si>
    <r>
      <t>C</t>
    </r>
    <r>
      <rPr>
        <b/>
        <vertAlign val="subscript"/>
        <sz val="10"/>
        <color theme="1"/>
        <rFont val="Arial"/>
        <family val="2"/>
      </rPr>
      <t>R600-1200</t>
    </r>
  </si>
  <si>
    <r>
      <t>Crel</t>
    </r>
    <r>
      <rPr>
        <b/>
        <vertAlign val="subscript"/>
        <sz val="10"/>
        <color theme="1"/>
        <rFont val="Arial"/>
        <family val="2"/>
      </rPr>
      <t>V0-80</t>
    </r>
  </si>
  <si>
    <r>
      <t>Crel</t>
    </r>
    <r>
      <rPr>
        <b/>
        <vertAlign val="subscript"/>
        <sz val="10"/>
        <color theme="1"/>
        <rFont val="Arial"/>
        <family val="2"/>
      </rPr>
      <t>V80-100</t>
    </r>
  </si>
  <si>
    <r>
      <t>Crel</t>
    </r>
    <r>
      <rPr>
        <b/>
        <vertAlign val="subscript"/>
        <sz val="10"/>
        <color theme="1"/>
        <rFont val="Arial"/>
        <family val="2"/>
      </rPr>
      <t>V100-120</t>
    </r>
  </si>
  <si>
    <r>
      <t>Crel</t>
    </r>
    <r>
      <rPr>
        <b/>
        <vertAlign val="subscript"/>
        <sz val="10"/>
        <color theme="1"/>
        <rFont val="Arial"/>
        <family val="2"/>
      </rPr>
      <t>V120-140</t>
    </r>
  </si>
  <si>
    <r>
      <t>Crel</t>
    </r>
    <r>
      <rPr>
        <b/>
        <vertAlign val="subscript"/>
        <sz val="10"/>
        <color theme="1"/>
        <rFont val="Arial"/>
        <family val="2"/>
      </rPr>
      <t>V140-160</t>
    </r>
  </si>
  <si>
    <r>
      <t>Crel</t>
    </r>
    <r>
      <rPr>
        <b/>
        <vertAlign val="subscript"/>
        <sz val="10"/>
        <color theme="1"/>
        <rFont val="Arial"/>
        <family val="2"/>
      </rPr>
      <t>V&gt;160</t>
    </r>
  </si>
  <si>
    <r>
      <t>C</t>
    </r>
    <r>
      <rPr>
        <b/>
        <vertAlign val="subscript"/>
        <sz val="10"/>
        <color theme="1"/>
        <rFont val="Arial"/>
        <family val="2"/>
      </rPr>
      <t>V0-80</t>
    </r>
  </si>
  <si>
    <r>
      <t>C</t>
    </r>
    <r>
      <rPr>
        <b/>
        <vertAlign val="subscript"/>
        <sz val="10"/>
        <color theme="1"/>
        <rFont val="Arial"/>
        <family val="2"/>
      </rPr>
      <t>V80-100</t>
    </r>
  </si>
  <si>
    <r>
      <t>C</t>
    </r>
    <r>
      <rPr>
        <b/>
        <vertAlign val="subscript"/>
        <sz val="10"/>
        <color theme="1"/>
        <rFont val="Arial"/>
        <family val="2"/>
      </rPr>
      <t>V100-120</t>
    </r>
  </si>
  <si>
    <r>
      <t>C</t>
    </r>
    <r>
      <rPr>
        <b/>
        <vertAlign val="subscript"/>
        <sz val="10"/>
        <color theme="1"/>
        <rFont val="Arial"/>
        <family val="2"/>
      </rPr>
      <t>V120-140</t>
    </r>
  </si>
  <si>
    <r>
      <t>C</t>
    </r>
    <r>
      <rPr>
        <b/>
        <vertAlign val="subscript"/>
        <sz val="10"/>
        <color theme="1"/>
        <rFont val="Arial"/>
        <family val="2"/>
      </rPr>
      <t>V140-160</t>
    </r>
  </si>
  <si>
    <r>
      <t>C</t>
    </r>
    <r>
      <rPr>
        <b/>
        <vertAlign val="subscript"/>
        <sz val="10"/>
        <color theme="1"/>
        <rFont val="Arial"/>
        <family val="2"/>
      </rPr>
      <t>V&gt;160</t>
    </r>
  </si>
  <si>
    <r>
      <t>Crel</t>
    </r>
    <r>
      <rPr>
        <vertAlign val="subscript"/>
        <sz val="8"/>
        <color theme="1"/>
        <rFont val="Arial"/>
        <family val="2"/>
      </rPr>
      <t>V0-80</t>
    </r>
    <r>
      <rPr>
        <sz val="8"/>
        <color theme="1"/>
        <rFont val="Arial"/>
        <family val="2"/>
      </rPr>
      <t xml:space="preserve"> * S</t>
    </r>
  </si>
  <si>
    <r>
      <t>Crel</t>
    </r>
    <r>
      <rPr>
        <vertAlign val="subscript"/>
        <sz val="8"/>
        <color theme="1"/>
        <rFont val="Arial"/>
        <family val="2"/>
      </rPr>
      <t>V80-100</t>
    </r>
    <r>
      <rPr>
        <sz val="8"/>
        <color theme="1"/>
        <rFont val="Arial"/>
        <family val="2"/>
      </rPr>
      <t xml:space="preserve"> * S</t>
    </r>
  </si>
  <si>
    <r>
      <t>Crel</t>
    </r>
    <r>
      <rPr>
        <vertAlign val="subscript"/>
        <sz val="8"/>
        <color theme="1"/>
        <rFont val="Arial"/>
        <family val="2"/>
      </rPr>
      <t>V100-120</t>
    </r>
    <r>
      <rPr>
        <sz val="8"/>
        <color theme="1"/>
        <rFont val="Arial"/>
        <family val="2"/>
      </rPr>
      <t xml:space="preserve"> * S</t>
    </r>
  </si>
  <si>
    <r>
      <t>Crel</t>
    </r>
    <r>
      <rPr>
        <vertAlign val="subscript"/>
        <sz val="8"/>
        <color theme="1"/>
        <rFont val="Arial"/>
        <family val="2"/>
      </rPr>
      <t>V120-140</t>
    </r>
    <r>
      <rPr>
        <sz val="8"/>
        <color theme="1"/>
        <rFont val="Arial"/>
        <family val="2"/>
      </rPr>
      <t xml:space="preserve"> * S</t>
    </r>
  </si>
  <si>
    <r>
      <t>Crel</t>
    </r>
    <r>
      <rPr>
        <vertAlign val="subscript"/>
        <sz val="8"/>
        <color theme="1"/>
        <rFont val="Arial"/>
        <family val="2"/>
      </rPr>
      <t>V140-160</t>
    </r>
    <r>
      <rPr>
        <sz val="8"/>
        <color theme="1"/>
        <rFont val="Arial"/>
        <family val="2"/>
      </rPr>
      <t xml:space="preserve"> * S</t>
    </r>
  </si>
  <si>
    <r>
      <t>Crel</t>
    </r>
    <r>
      <rPr>
        <vertAlign val="subscript"/>
        <sz val="8"/>
        <color theme="1"/>
        <rFont val="Arial"/>
        <family val="2"/>
      </rPr>
      <t>V160-200</t>
    </r>
    <r>
      <rPr>
        <sz val="8"/>
        <color theme="1"/>
        <rFont val="Arial"/>
        <family val="2"/>
      </rPr>
      <t xml:space="preserve"> * S</t>
    </r>
  </si>
  <si>
    <r>
      <t>Crel</t>
    </r>
    <r>
      <rPr>
        <vertAlign val="subscript"/>
        <sz val="8"/>
        <color theme="1"/>
        <rFont val="Arial"/>
        <family val="2"/>
      </rPr>
      <t>R1-300</t>
    </r>
    <r>
      <rPr>
        <sz val="8"/>
        <color theme="1"/>
        <rFont val="Arial"/>
        <family val="2"/>
      </rPr>
      <t xml:space="preserve"> * S</t>
    </r>
  </si>
  <si>
    <r>
      <t>Crel</t>
    </r>
    <r>
      <rPr>
        <vertAlign val="subscript"/>
        <sz val="8"/>
        <color theme="1"/>
        <rFont val="Arial"/>
        <family val="2"/>
      </rPr>
      <t>R300-400</t>
    </r>
    <r>
      <rPr>
        <sz val="8"/>
        <color theme="1"/>
        <rFont val="Arial"/>
        <family val="2"/>
      </rPr>
      <t xml:space="preserve"> * S</t>
    </r>
  </si>
  <si>
    <r>
      <t>Crel</t>
    </r>
    <r>
      <rPr>
        <vertAlign val="subscript"/>
        <sz val="8"/>
        <color theme="1"/>
        <rFont val="Arial"/>
        <family val="2"/>
      </rPr>
      <t xml:space="preserve">R400-600 </t>
    </r>
    <r>
      <rPr>
        <sz val="8"/>
        <color theme="1"/>
        <rFont val="Arial"/>
        <family val="2"/>
      </rPr>
      <t>* S</t>
    </r>
  </si>
  <si>
    <r>
      <t>Crel</t>
    </r>
    <r>
      <rPr>
        <vertAlign val="subscript"/>
        <sz val="8"/>
        <color theme="1"/>
        <rFont val="Arial"/>
        <family val="2"/>
      </rPr>
      <t>R600-1200</t>
    </r>
    <r>
      <rPr>
        <sz val="8"/>
        <color theme="1"/>
        <rFont val="Arial"/>
        <family val="2"/>
      </rPr>
      <t xml:space="preserve"> * S</t>
    </r>
  </si>
  <si>
    <r>
      <t>Crel</t>
    </r>
    <r>
      <rPr>
        <vertAlign val="subscript"/>
        <sz val="10"/>
        <color theme="1"/>
        <rFont val="Arial"/>
        <family val="2"/>
      </rPr>
      <t>Tpv</t>
    </r>
  </si>
  <si>
    <r>
      <t>C</t>
    </r>
    <r>
      <rPr>
        <vertAlign val="subscript"/>
        <sz val="10"/>
        <color theme="1"/>
        <rFont val="Arial"/>
        <family val="2"/>
      </rPr>
      <t>Tpv</t>
    </r>
  </si>
  <si>
    <r>
      <t>Crel</t>
    </r>
    <r>
      <rPr>
        <vertAlign val="subscript"/>
        <sz val="8"/>
        <color theme="1"/>
        <rFont val="Arial"/>
        <family val="2"/>
      </rPr>
      <t>Tpv</t>
    </r>
    <r>
      <rPr>
        <sz val="8"/>
        <color theme="1"/>
        <rFont val="Arial"/>
        <family val="2"/>
      </rPr>
      <t xml:space="preserve"> * S</t>
    </r>
  </si>
  <si>
    <r>
      <t>f</t>
    </r>
    <r>
      <rPr>
        <vertAlign val="subscript"/>
        <sz val="10"/>
        <color theme="1"/>
        <rFont val="Arial"/>
        <family val="2"/>
      </rPr>
      <t>u/o</t>
    </r>
    <r>
      <rPr>
        <sz val="10"/>
        <color theme="1"/>
        <rFont val="Arial"/>
        <family val="2"/>
      </rPr>
      <t>Q</t>
    </r>
    <r>
      <rPr>
        <vertAlign val="subscript"/>
        <sz val="10"/>
        <color theme="1"/>
        <rFont val="Arial"/>
        <family val="2"/>
      </rPr>
      <t>0</t>
    </r>
  </si>
  <si>
    <r>
      <t>f</t>
    </r>
    <r>
      <rPr>
        <vertAlign val="subscript"/>
        <sz val="10"/>
        <color theme="1"/>
        <rFont val="Arial"/>
        <family val="2"/>
      </rPr>
      <t>u/o</t>
    </r>
    <r>
      <rPr>
        <sz val="10"/>
        <color theme="1"/>
        <rFont val="Arial"/>
        <family val="2"/>
      </rPr>
      <t>m</t>
    </r>
    <r>
      <rPr>
        <vertAlign val="subscript"/>
        <sz val="10"/>
        <color theme="1"/>
        <rFont val="Arial"/>
        <family val="2"/>
      </rPr>
      <t>u</t>
    </r>
  </si>
  <si>
    <r>
      <t>f</t>
    </r>
    <r>
      <rPr>
        <vertAlign val="subscript"/>
        <sz val="10"/>
        <color theme="0" tint="-0.499984740745262"/>
        <rFont val="Arial"/>
        <family val="2"/>
      </rPr>
      <t>u/o</t>
    </r>
    <r>
      <rPr>
        <sz val="10"/>
        <color theme="0" tint="-0.499984740745262"/>
        <rFont val="Arial"/>
        <family val="2"/>
      </rPr>
      <t>W</t>
    </r>
    <r>
      <rPr>
        <vertAlign val="subscript"/>
        <sz val="10"/>
        <color theme="0" tint="-0.499984740745262"/>
        <rFont val="Arial"/>
        <family val="2"/>
      </rPr>
      <t>b</t>
    </r>
    <r>
      <rPr>
        <sz val="10"/>
        <color theme="0" tint="-0.499984740745262"/>
        <rFont val="Arial"/>
        <family val="2"/>
      </rPr>
      <t>Σm</t>
    </r>
  </si>
  <si>
    <r>
      <t>f</t>
    </r>
    <r>
      <rPr>
        <vertAlign val="subscript"/>
        <sz val="10"/>
        <color theme="0" tint="-0.499984740745262"/>
        <rFont val="Arial"/>
        <family val="2"/>
      </rPr>
      <t>u/o</t>
    </r>
    <r>
      <rPr>
        <sz val="10"/>
        <color theme="0" tint="-0.499984740745262"/>
        <rFont val="Arial"/>
        <family val="2"/>
      </rPr>
      <t>W</t>
    </r>
    <r>
      <rPr>
        <vertAlign val="subscript"/>
        <sz val="10"/>
        <color theme="0" tint="-0.499984740745262"/>
        <rFont val="Arial"/>
        <family val="2"/>
      </rPr>
      <t>b</t>
    </r>
    <r>
      <rPr>
        <sz val="10"/>
        <color theme="0" tint="-0.499984740745262"/>
        <rFont val="Arial"/>
        <family val="2"/>
      </rPr>
      <t>C</t>
    </r>
    <r>
      <rPr>
        <vertAlign val="subscript"/>
        <sz val="10"/>
        <color theme="0" tint="-0.499984740745262"/>
        <rFont val="Arial"/>
        <family val="2"/>
      </rPr>
      <t>x</t>
    </r>
  </si>
  <si>
    <r>
      <t>f</t>
    </r>
    <r>
      <rPr>
        <vertAlign val="subscript"/>
        <sz val="10"/>
        <color theme="0" tint="-0.499984740745262"/>
        <rFont val="Arial"/>
        <family val="2"/>
      </rPr>
      <t>u/o</t>
    </r>
    <r>
      <rPr>
        <sz val="10"/>
        <color theme="0" tint="-0.499984740745262"/>
        <rFont val="Arial"/>
        <family val="2"/>
      </rPr>
      <t>W</t>
    </r>
    <r>
      <rPr>
        <vertAlign val="subscript"/>
        <sz val="10"/>
        <color theme="0" tint="-0.499984740745262"/>
        <rFont val="Arial"/>
        <family val="2"/>
      </rPr>
      <t>b</t>
    </r>
    <r>
      <rPr>
        <sz val="10"/>
        <color theme="0" tint="-0.499984740745262"/>
        <rFont val="Arial"/>
        <family val="2"/>
      </rPr>
      <t>μ</t>
    </r>
  </si>
  <si>
    <r>
      <t>f</t>
    </r>
    <r>
      <rPr>
        <vertAlign val="subscript"/>
        <sz val="10"/>
        <color theme="1"/>
        <rFont val="Arial"/>
        <family val="2"/>
      </rPr>
      <t>u/o</t>
    </r>
    <r>
      <rPr>
        <sz val="10"/>
        <color theme="1"/>
        <rFont val="Arial"/>
        <family val="2"/>
      </rPr>
      <t>W</t>
    </r>
    <r>
      <rPr>
        <vertAlign val="subscript"/>
        <sz val="10"/>
        <color theme="1"/>
        <rFont val="Arial"/>
        <family val="2"/>
      </rPr>
      <t>b</t>
    </r>
  </si>
  <si>
    <r>
      <t>f</t>
    </r>
    <r>
      <rPr>
        <vertAlign val="subscript"/>
        <sz val="10"/>
        <color theme="0" tint="-0.499984740745262"/>
        <rFont val="Arial"/>
        <family val="2"/>
      </rPr>
      <t>u/o</t>
    </r>
    <r>
      <rPr>
        <sz val="10"/>
        <color theme="0" tint="-0.499984740745262"/>
        <rFont val="Arial"/>
        <family val="2"/>
      </rPr>
      <t>Y</t>
    </r>
    <r>
      <rPr>
        <vertAlign val="subscript"/>
        <sz val="10"/>
        <color theme="0" tint="-0.499984740745262"/>
        <rFont val="Arial"/>
        <family val="2"/>
      </rPr>
      <t>W185</t>
    </r>
    <r>
      <rPr>
        <sz val="10"/>
        <color theme="0" tint="-0.499984740745262"/>
        <rFont val="Arial"/>
        <family val="2"/>
      </rPr>
      <t>Σm</t>
    </r>
  </si>
  <si>
    <r>
      <t>f</t>
    </r>
    <r>
      <rPr>
        <vertAlign val="subscript"/>
        <sz val="10"/>
        <color theme="0" tint="-0.499984740745262"/>
        <rFont val="Arial"/>
        <family val="2"/>
      </rPr>
      <t>u/o</t>
    </r>
    <r>
      <rPr>
        <sz val="10"/>
        <color theme="0" tint="-0.499984740745262"/>
        <rFont val="Arial"/>
        <family val="2"/>
      </rPr>
      <t>Y</t>
    </r>
    <r>
      <rPr>
        <vertAlign val="subscript"/>
        <sz val="10"/>
        <color theme="0" tint="-0.499984740745262"/>
        <rFont val="Arial"/>
        <family val="2"/>
      </rPr>
      <t>W185</t>
    </r>
    <r>
      <rPr>
        <sz val="10"/>
        <color theme="0" tint="-0.499984740745262"/>
        <rFont val="Arial"/>
        <family val="2"/>
      </rPr>
      <t>C</t>
    </r>
    <r>
      <rPr>
        <vertAlign val="subscript"/>
        <sz val="10"/>
        <color theme="0" tint="-0.499984740745262"/>
        <rFont val="Arial"/>
        <family val="2"/>
      </rPr>
      <t>x</t>
    </r>
  </si>
  <si>
    <r>
      <t>f</t>
    </r>
    <r>
      <rPr>
        <vertAlign val="subscript"/>
        <sz val="10"/>
        <color theme="0" tint="-0.499984740745262"/>
        <rFont val="Arial"/>
        <family val="2"/>
      </rPr>
      <t>u/o</t>
    </r>
    <r>
      <rPr>
        <sz val="10"/>
        <color theme="0" tint="-0.499984740745262"/>
        <rFont val="Arial"/>
        <family val="2"/>
      </rPr>
      <t>Y</t>
    </r>
    <r>
      <rPr>
        <vertAlign val="subscript"/>
        <sz val="10"/>
        <color theme="0" tint="-0.499984740745262"/>
        <rFont val="Arial"/>
        <family val="2"/>
      </rPr>
      <t>W185</t>
    </r>
    <r>
      <rPr>
        <sz val="10"/>
        <color theme="0" tint="-0.499984740745262"/>
        <rFont val="Arial"/>
        <family val="2"/>
      </rPr>
      <t>SD</t>
    </r>
  </si>
  <si>
    <r>
      <t>f</t>
    </r>
    <r>
      <rPr>
        <vertAlign val="subscript"/>
        <sz val="10"/>
        <color theme="0" tint="-0.499984740745262"/>
        <rFont val="Arial"/>
        <family val="2"/>
      </rPr>
      <t>u/o</t>
    </r>
    <r>
      <rPr>
        <sz val="10"/>
        <color theme="0" tint="-0.499984740745262"/>
        <rFont val="Arial"/>
        <family val="2"/>
      </rPr>
      <t>Y</t>
    </r>
    <r>
      <rPr>
        <vertAlign val="subscript"/>
        <sz val="10"/>
        <color theme="0" tint="-0.499984740745262"/>
        <rFont val="Arial"/>
        <family val="2"/>
      </rPr>
      <t>W185</t>
    </r>
    <r>
      <rPr>
        <sz val="10"/>
        <color theme="0" tint="-0.499984740745262"/>
        <rFont val="Arial"/>
        <family val="2"/>
      </rPr>
      <t>J</t>
    </r>
    <r>
      <rPr>
        <vertAlign val="subscript"/>
        <sz val="10"/>
        <color theme="0" tint="-0.499984740745262"/>
        <rFont val="Arial"/>
        <family val="2"/>
      </rPr>
      <t>zz</t>
    </r>
  </si>
  <si>
    <r>
      <t>f</t>
    </r>
    <r>
      <rPr>
        <vertAlign val="subscript"/>
        <sz val="10"/>
        <color theme="0" tint="-0.499984740745262"/>
        <rFont val="Arial"/>
        <family val="2"/>
      </rPr>
      <t>u/o</t>
    </r>
    <r>
      <rPr>
        <sz val="10"/>
        <color theme="0" tint="-0.499984740745262"/>
        <rFont val="Arial"/>
        <family val="2"/>
      </rPr>
      <t>Y</t>
    </r>
    <r>
      <rPr>
        <vertAlign val="subscript"/>
        <sz val="10"/>
        <color theme="0" tint="-0.499984740745262"/>
        <rFont val="Arial"/>
        <family val="2"/>
      </rPr>
      <t>W185</t>
    </r>
    <r>
      <rPr>
        <sz val="10"/>
        <color theme="0" tint="-0.499984740745262"/>
        <rFont val="Arial"/>
        <family val="2"/>
      </rPr>
      <t>μ</t>
    </r>
  </si>
  <si>
    <r>
      <t>f</t>
    </r>
    <r>
      <rPr>
        <vertAlign val="subscript"/>
        <sz val="10"/>
        <color theme="1"/>
        <rFont val="Arial"/>
        <family val="2"/>
      </rPr>
      <t>u/o</t>
    </r>
    <r>
      <rPr>
        <sz val="10"/>
        <color theme="1"/>
        <rFont val="Arial"/>
        <family val="2"/>
      </rPr>
      <t>Y</t>
    </r>
    <r>
      <rPr>
        <vertAlign val="subscript"/>
        <sz val="10"/>
        <color theme="1"/>
        <rFont val="Arial"/>
        <family val="2"/>
      </rPr>
      <t>W185</t>
    </r>
  </si>
  <si>
    <r>
      <t xml:space="preserve"> W</t>
    </r>
    <r>
      <rPr>
        <vertAlign val="sub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&lt; 15 :           0
 15 ≤ W</t>
    </r>
    <r>
      <rPr>
        <vertAlign val="sub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&lt; 65 :    n</t>
    </r>
    <r>
      <rPr>
        <vertAlign val="subscript"/>
        <sz val="8"/>
        <color theme="1"/>
        <rFont val="Arial"/>
        <family val="2"/>
      </rPr>
      <t>FW</t>
    </r>
    <r>
      <rPr>
        <sz val="8"/>
        <color theme="1"/>
        <rFont val="Arial"/>
        <family val="2"/>
      </rPr>
      <t xml:space="preserve"> * (0.02 * W</t>
    </r>
    <r>
      <rPr>
        <vertAlign val="sub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- 0.3)
 65 ≤ W</t>
    </r>
    <r>
      <rPr>
        <vertAlign val="sub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&lt; 175 :  n</t>
    </r>
    <r>
      <rPr>
        <vertAlign val="subscript"/>
        <sz val="8"/>
        <color theme="1"/>
        <rFont val="Arial"/>
        <family val="2"/>
      </rPr>
      <t>FW</t>
    </r>
    <r>
      <rPr>
        <sz val="8"/>
        <color theme="1"/>
        <rFont val="Arial"/>
        <family val="2"/>
      </rPr>
      <t xml:space="preserve"> * (-W</t>
    </r>
    <r>
      <rPr>
        <vertAlign val="sub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+ 175) / 110
 W</t>
    </r>
    <r>
      <rPr>
        <vertAlign val="sub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≥ 175 :         0 </t>
    </r>
  </si>
  <si>
    <r>
      <t xml:space="preserve"> W</t>
    </r>
    <r>
      <rPr>
        <vertAlign val="sub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&lt; 65 :     0
 W</t>
    </r>
    <r>
      <rPr>
        <vertAlign val="sub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≥ 65 :     n</t>
    </r>
    <r>
      <rPr>
        <vertAlign val="subscript"/>
        <sz val="8"/>
        <color theme="1"/>
        <rFont val="Arial"/>
        <family val="2"/>
      </rPr>
      <t>FW</t>
    </r>
    <r>
      <rPr>
        <sz val="8"/>
        <color theme="1"/>
        <rFont val="Arial"/>
        <family val="2"/>
      </rPr>
      <t xml:space="preserve"> * (W</t>
    </r>
    <r>
      <rPr>
        <vertAlign val="sub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- 65) / 110</t>
    </r>
  </si>
  <si>
    <t>Sprache:
Langue:
Lingua:
Language:</t>
  </si>
  <si>
    <t>- cx ≥ 30 kN/mm:                     40 kN/mm
- 15 kN/mm ≤ cx &lt; 30 kN/mm : 20 kN/mm
- 8 kN/mm ≤ cx &lt; 15 kN/mm :   10 kN/mm
- cx &lt; 8 kN/mm :                       5 kN/mm</t>
  </si>
  <si>
    <t>de</t>
  </si>
  <si>
    <t>TWg</t>
  </si>
  <si>
    <t>DOSTO_IC2000</t>
  </si>
  <si>
    <t>DOSTO_IC2000-STW</t>
  </si>
  <si>
    <t>NPZ-STW(35t-40t)</t>
  </si>
  <si>
    <t>DOSTO_S-ZH-STW</t>
  </si>
  <si>
    <t>JUMBO</t>
  </si>
  <si>
    <t>DOSTO_S-ZH_NDW</t>
  </si>
  <si>
    <t>DOMINO</t>
  </si>
  <si>
    <t>VAE</t>
  </si>
  <si>
    <t>EC/IC-WRm</t>
  </si>
  <si>
    <t>EC/IC_Panorama</t>
  </si>
  <si>
    <t>RJ_MW</t>
  </si>
  <si>
    <t>RJ-STW</t>
  </si>
  <si>
    <t>DOSTO_IC2000_HALL</t>
  </si>
  <si>
    <t>DOSTO_IC2000_HALL-STW</t>
  </si>
  <si>
    <t>NPZ-MW(30t-35t)</t>
  </si>
  <si>
    <t>NPZ-MW(35t-40t)</t>
  </si>
  <si>
    <t>AutoVerlad_II(Niesky)</t>
  </si>
  <si>
    <t>AutoVerlad_I(Schlieren)</t>
  </si>
  <si>
    <t>ICE1_8/48</t>
  </si>
  <si>
    <t>ICE1_8/52</t>
  </si>
  <si>
    <t>ICE1_8/56</t>
  </si>
  <si>
    <t>ICE1_8/60</t>
  </si>
  <si>
    <t>ICE1_8/64</t>
  </si>
  <si>
    <t>Be552_4/8</t>
  </si>
  <si>
    <t>Am843</t>
  </si>
  <si>
    <t>Ee922</t>
  </si>
  <si>
    <t>Eem923</t>
  </si>
  <si>
    <t>Re420</t>
  </si>
  <si>
    <t>Re425</t>
  </si>
  <si>
    <t>Re446</t>
  </si>
  <si>
    <t>Re450</t>
  </si>
  <si>
    <t>Re456</t>
  </si>
  <si>
    <t>Re460</t>
  </si>
  <si>
    <t>Re465</t>
  </si>
  <si>
    <t>Re474</t>
  </si>
  <si>
    <t>Re482</t>
  </si>
  <si>
    <t>Re484</t>
  </si>
  <si>
    <t>Re486</t>
  </si>
  <si>
    <t>Re620</t>
  </si>
  <si>
    <t>RBDe560</t>
  </si>
  <si>
    <t>RBDe567</t>
  </si>
  <si>
    <t>RBDe565</t>
  </si>
  <si>
    <t>Be556</t>
  </si>
  <si>
    <t>Bpm51</t>
  </si>
  <si>
    <t>DOSTO_S-ZH_DPZ</t>
  </si>
  <si>
    <t>EW1-2</t>
  </si>
  <si>
    <t>EW1-2_STW</t>
  </si>
  <si>
    <t>EW3</t>
  </si>
  <si>
    <t>EW3_STW</t>
  </si>
  <si>
    <t>EW4</t>
  </si>
  <si>
    <t>EW4_HALL</t>
  </si>
  <si>
    <t>EW4_STW</t>
  </si>
  <si>
    <t>GTW_STW</t>
  </si>
  <si>
    <t>SchlafWagen(45t_55t)</t>
  </si>
  <si>
    <t>EW4_vmax160</t>
  </si>
  <si>
    <t>SchlafWagen(55t_65t)</t>
  </si>
  <si>
    <t>RABe503_8/28</t>
  </si>
  <si>
    <t>RABDe500_8/28</t>
  </si>
  <si>
    <t>RABe511_8/16</t>
  </si>
  <si>
    <t>RABe511_8/24</t>
  </si>
  <si>
    <t>RABe514_8/16</t>
  </si>
  <si>
    <t>RABe515_8/16</t>
  </si>
  <si>
    <t>RABe520_2/8</t>
  </si>
  <si>
    <t>RABe521_4/10</t>
  </si>
  <si>
    <t>RABe522_4/10</t>
  </si>
  <si>
    <t>RABe524_4/10</t>
  </si>
  <si>
    <t>RABe524_4/14</t>
  </si>
  <si>
    <t>RABe525_4/10</t>
  </si>
  <si>
    <t>RABe525_4/8</t>
  </si>
  <si>
    <t>RABe526_2/6</t>
  </si>
  <si>
    <t>RABe526_2/8</t>
  </si>
  <si>
    <t>RABe535_4/10</t>
  </si>
  <si>
    <t>TGV 2N2_8/26</t>
  </si>
  <si>
    <t>TGV POS_8/26</t>
  </si>
  <si>
    <t>BDeh_3/6</t>
  </si>
  <si>
    <t>Re420 HVZ</t>
  </si>
  <si>
    <t>Re430</t>
  </si>
  <si>
    <t>RBe540</t>
  </si>
  <si>
    <t>RBDe566_1</t>
  </si>
  <si>
    <t>BDe576_4/4(78t)</t>
  </si>
  <si>
    <t>RBDe561</t>
  </si>
  <si>
    <t>RBDe562</t>
  </si>
  <si>
    <t>RBDe566_3</t>
  </si>
  <si>
    <t>Re475</t>
  </si>
  <si>
    <t>EC/IC-Personenwagen</t>
  </si>
  <si>
    <t>NPZ-STW(30t-35t)_Nav</t>
  </si>
  <si>
    <t>NPZ-MW(30t-35t)_Nav</t>
  </si>
  <si>
    <t>EC/IC-Personenwagen_HALL</t>
  </si>
  <si>
    <t>Nf-Personenwagen_B36x(TPF)</t>
  </si>
  <si>
    <t>Nf-Personenwagen_B220(SZU)</t>
  </si>
  <si>
    <t>BR1216(A)</t>
  </si>
  <si>
    <t>Ee922#geschleppt</t>
  </si>
  <si>
    <t>Eem923#diesel</t>
  </si>
  <si>
    <t>Rem487</t>
  </si>
  <si>
    <t>Rem487#diesel</t>
  </si>
  <si>
    <t>ABDe578</t>
  </si>
  <si>
    <t>GW2Ax#achslastklasse12_16</t>
  </si>
  <si>
    <t>GW2Ax#achslastklasse16_20</t>
  </si>
  <si>
    <t>GW2Ax#achslastklasse20_24</t>
  </si>
  <si>
    <t>GW2Ax#achslastklasse4_8</t>
  </si>
  <si>
    <t>GW2Ax#achslastklasse8_12</t>
  </si>
  <si>
    <t>GW3Ax#achslastklasse12_16</t>
  </si>
  <si>
    <t>GW3Ax#achslastklasse16_20</t>
  </si>
  <si>
    <t>GW3Ax#achslastklasse20_24</t>
  </si>
  <si>
    <t>GW3Ax#achslastklasse4_8</t>
  </si>
  <si>
    <t>GW3Ax#achslastklasse8_12</t>
  </si>
  <si>
    <t>GW4Ax_0DG#achslastklasse12_16</t>
  </si>
  <si>
    <t>GW4Ax_0DG#achslastklasse16_20</t>
  </si>
  <si>
    <t>GW4Ax_0DG#achslastklasse20_24</t>
  </si>
  <si>
    <t>GW4Ax_0DG#achslastklasse4_8</t>
  </si>
  <si>
    <t>GW4Ax_0DG#achslastklasse8_12</t>
  </si>
  <si>
    <t>GW4Ax_2DG#achslastklasse12_16</t>
  </si>
  <si>
    <t>GW4Ax_2DG#achslastklasse16_20</t>
  </si>
  <si>
    <t>GW4Ax_2DG#achslastklasse20_24</t>
  </si>
  <si>
    <t>GW4Ax_2DG#achslastklasse4_8</t>
  </si>
  <si>
    <t>GW4Ax_2DG#achslastklasse8_12</t>
  </si>
  <si>
    <t>GW6Ax_2DG#achslastklasse12_16</t>
  </si>
  <si>
    <t>GW6Ax_2DG#achslastklasse16_20</t>
  </si>
  <si>
    <t>GW6Ax_2DG#achslastklasse20_24</t>
  </si>
  <si>
    <t>GW6Ax_2DG#achslastklasse4_8</t>
  </si>
  <si>
    <t>GW6Ax_2DG#achslastklasse8_12</t>
  </si>
  <si>
    <t>GW6Ax_3DG#achslastklasse12_16</t>
  </si>
  <si>
    <t>GW6Ax_3DG#achslastklasse16_20</t>
  </si>
  <si>
    <t>GW6Ax_3DG#achslastklasse20_24</t>
  </si>
  <si>
    <t>GW6Ax_3DG#achslastklasse4_8</t>
  </si>
  <si>
    <t>GW6Ax_3DG#achslastklasse8_12</t>
  </si>
  <si>
    <t>GW8Ax_4DG#achslastklasse12_16</t>
  </si>
  <si>
    <t>GW8Ax_4DG#achslastklasse16_20</t>
  </si>
  <si>
    <t>GW8Ax_4DG#achslastklasse20_24</t>
  </si>
  <si>
    <t>GW8Ax_4DG#achslastklasse4_8</t>
  </si>
  <si>
    <t>GW8Ax_4DG#achslastklasse8_12</t>
  </si>
  <si>
    <t>ROLA8Ax#achslastklasse0_4</t>
  </si>
  <si>
    <t>ROLA8Ax#achslastklasse4_8</t>
  </si>
  <si>
    <t>RABDe500_8/28#nichtBogenschnell</t>
  </si>
  <si>
    <t>RABDe500_8/28#zugreiheReduziert</t>
  </si>
  <si>
    <t>RABe503_8/28#nichtBogenschnell</t>
  </si>
  <si>
    <t>RABe503_8/28#zugreiheReduziert</t>
  </si>
  <si>
    <t>Rem476</t>
  </si>
  <si>
    <t>Schulzugwagen SBB</t>
  </si>
  <si>
    <t>RABe511_8/16_HALL</t>
  </si>
  <si>
    <t>RABe511_8/24_HALL</t>
  </si>
  <si>
    <t>RABe526_8/20</t>
  </si>
  <si>
    <t>RABe526.00x_4/10</t>
  </si>
  <si>
    <t>ICE4_28/52</t>
  </si>
  <si>
    <t>ICE4_24/48</t>
  </si>
  <si>
    <t>Rem476#diesel</t>
  </si>
  <si>
    <t>GW2Ax</t>
  </si>
  <si>
    <t>GW3Ax</t>
  </si>
  <si>
    <t>GW4Ax_0DG</t>
  </si>
  <si>
    <t>GW4Ax_2DG</t>
  </si>
  <si>
    <t>GW6Ax_2DG</t>
  </si>
  <si>
    <t>GW6Ax_3DG</t>
  </si>
  <si>
    <t>GW8Ax_4DG</t>
  </si>
  <si>
    <t>ROLA8Ax</t>
  </si>
  <si>
    <t>RABe501_8/24</t>
  </si>
  <si>
    <t>RABe514_8/16 HALL</t>
  </si>
  <si>
    <t>RABe523.1xx_4/10</t>
  </si>
  <si>
    <t>RABe524.3xx_4/14</t>
  </si>
  <si>
    <t>RABe528.1xx_8/14</t>
  </si>
  <si>
    <t>RABe515_8/16_HALL</t>
  </si>
  <si>
    <t>RABe515_8/24_HALL</t>
  </si>
  <si>
    <t>RABe521_4/10_HALL</t>
  </si>
  <si>
    <t>RABe528.2xx_8/14</t>
  </si>
  <si>
    <t>2023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</si>
</sst>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000"/>
    <numFmt numFmtId="165" formatCode="00&quot;a&quot;"/>
    <numFmt numFmtId="166" formatCode="&quot;Reibarbeit im Bezugsradius von &quot;00&quot; m&quot;"/>
    <numFmt numFmtId="167" formatCode="0.0000000"/>
    <numFmt numFmtId="168" formatCode="0.00000"/>
    <numFmt numFmtId="169" formatCode="0.000"/>
    <numFmt numFmtId="170" formatCode="0.0"/>
    <numFmt numFmtId="171" formatCode="0.000000000000"/>
    <numFmt numFmtId="172" formatCode="&quot;dynamische Radkraft bei V= &quot;00.00&quot; km/h&quot;"/>
    <numFmt numFmtId="173" formatCode="&quot;Radiengeschwindigkeiten berechnet für ü = 150 mm und aq = &quot;0.00&quot; m/s²:&quot;"/>
    <numFmt numFmtId="174" formatCode="0.00000000"/>
    <numFmt numFmtId="175" formatCode="0.00000000000000"/>
    <numFmt numFmtId="176" formatCode="0.00&quot; t&quot;"/>
  </numFmts>
  <fonts count="3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8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ourier New"/>
      <family val="3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sz val="12"/>
      <color theme="8" tint="0.79998168889431442"/>
      <name val="Arial"/>
      <family val="2"/>
    </font>
    <font>
      <sz val="10"/>
      <color theme="0" tint="-0.499984740745262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vertAlign val="subscript"/>
      <sz val="10"/>
      <color theme="1"/>
      <name val="Arial"/>
      <family val="2"/>
    </font>
    <font>
      <b/>
      <sz val="10"/>
      <color theme="1" tint="0.499984740745262"/>
      <name val="Courier New"/>
      <family val="3"/>
    </font>
    <font>
      <vertAlign val="subscript"/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0"/>
      <color theme="1"/>
      <name val="Wingdings"/>
      <charset val="2"/>
    </font>
    <font>
      <sz val="8"/>
      <color theme="2"/>
      <name val="Arial"/>
      <family val="2"/>
    </font>
    <font>
      <sz val="10"/>
      <color theme="2"/>
      <name val="Arial"/>
      <family val="2"/>
    </font>
    <font>
      <b/>
      <sz val="9"/>
      <color theme="0"/>
      <name val="Arial"/>
      <family val="2"/>
    </font>
    <font>
      <sz val="11"/>
      <color indexed="8"/>
      <name val="Arial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9.9978637043366805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97">
    <border>
      <left/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medium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6" tint="0.59996337778862885"/>
      </top>
      <bottom style="medium">
        <color theme="6" tint="0.59996337778862885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/>
      <diagonal/>
    </border>
    <border>
      <left style="thin">
        <color theme="6" tint="0.79998168889431442"/>
      </left>
      <right/>
      <top style="thin">
        <color theme="6" tint="0.79998168889431442"/>
      </top>
      <bottom/>
      <diagonal/>
    </border>
    <border>
      <left/>
      <right/>
      <top style="thin">
        <color theme="6" tint="0.79998168889431442"/>
      </top>
      <bottom/>
      <diagonal/>
    </border>
    <border>
      <left/>
      <right style="thin">
        <color theme="6" tint="0.79998168889431442"/>
      </right>
      <top style="thin">
        <color theme="6" tint="0.79998168889431442"/>
      </top>
      <bottom/>
      <diagonal/>
    </border>
    <border>
      <left style="thin">
        <color theme="6" tint="0.79998168889431442"/>
      </left>
      <right/>
      <top/>
      <bottom style="thin">
        <color theme="6" tint="0.79998168889431442"/>
      </bottom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/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medium">
        <color theme="6" tint="0.79995117038483843"/>
      </bottom>
      <diagonal/>
    </border>
    <border>
      <left style="thin">
        <color theme="6" tint="0.79998168889431442"/>
      </left>
      <right style="thin">
        <color theme="6" tint="0.79998168889431442"/>
      </right>
      <top/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5117038483843"/>
      </bottom>
      <diagonal/>
    </border>
    <border>
      <left style="thin">
        <color theme="6" tint="0.79995117038483843"/>
      </left>
      <right/>
      <top style="thin">
        <color theme="6" tint="0.79995117038483843"/>
      </top>
      <bottom style="thin">
        <color theme="6" tint="0.79998168889431442"/>
      </bottom>
      <diagonal/>
    </border>
    <border>
      <left/>
      <right/>
      <top style="thin">
        <color theme="6" tint="0.79995117038483843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8168889431442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medium">
        <color theme="6" tint="0.59996337778862885"/>
      </top>
      <bottom style="thin">
        <color theme="6" tint="0.59996337778862885"/>
      </bottom>
      <diagonal/>
    </border>
    <border>
      <left/>
      <right/>
      <top style="medium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medium">
        <color theme="6" tint="0.59996337778862885"/>
      </top>
      <bottom style="thin">
        <color theme="6" tint="0.59996337778862885"/>
      </bottom>
      <diagonal/>
    </border>
    <border>
      <left/>
      <right/>
      <top/>
      <bottom style="thin">
        <color theme="6" tint="0.79995117038483843"/>
      </bottom>
      <diagonal/>
    </border>
    <border>
      <left style="thin">
        <color theme="6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7999816888943144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7999816888943144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7" tint="-9.9948118533890809E-2"/>
      </left>
      <right style="thin">
        <color theme="7" tint="-9.9948118533890809E-2"/>
      </right>
      <top style="thin">
        <color theme="7" tint="-9.9948118533890809E-2"/>
      </top>
      <bottom style="thin">
        <color theme="7" tint="-9.9948118533890809E-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9.9948118533890809E-2"/>
      </left>
      <right style="thin">
        <color theme="7" tint="-9.9948118533890809E-2"/>
      </right>
      <top style="thin">
        <color theme="7" tint="-9.9948118533890809E-2"/>
      </top>
      <bottom/>
      <diagonal/>
    </border>
    <border>
      <left style="thin">
        <color theme="7" tint="-9.9948118533890809E-2"/>
      </left>
      <right style="thin">
        <color theme="7" tint="-9.9948118533890809E-2"/>
      </right>
      <top/>
      <bottom style="thin">
        <color theme="7" tint="-9.9948118533890809E-2"/>
      </bottom>
      <diagonal/>
    </border>
    <border>
      <left style="thin">
        <color theme="7" tint="-9.9917600024414813E-2"/>
      </left>
      <right style="thin">
        <color theme="7" tint="-9.9948118533890809E-2"/>
      </right>
      <top style="thin">
        <color theme="7" tint="-9.9948118533890809E-2"/>
      </top>
      <bottom style="thin">
        <color theme="7" tint="-9.9917600024414813E-2"/>
      </bottom>
      <diagonal/>
    </border>
    <border>
      <left style="thin">
        <color theme="7" tint="-9.9917600024414813E-2"/>
      </left>
      <right style="thin">
        <color theme="7" tint="-9.9917600024414813E-2"/>
      </right>
      <top style="thin">
        <color theme="7" tint="-9.9948118533890809E-2"/>
      </top>
      <bottom style="thin">
        <color theme="7" tint="-9.9917600024414813E-2"/>
      </bottom>
      <diagonal/>
    </border>
    <border>
      <left style="thin">
        <color theme="7" tint="-9.9917600024414813E-2"/>
      </left>
      <right style="thin">
        <color theme="7" tint="-9.9917600024414813E-2"/>
      </right>
      <top style="thin">
        <color theme="7" tint="-9.9917600024414813E-2"/>
      </top>
      <bottom style="thin">
        <color theme="7" tint="-9.9917600024414813E-2"/>
      </bottom>
      <diagonal/>
    </border>
    <border>
      <left style="thin">
        <color theme="7" tint="-9.9917600024414813E-2"/>
      </left>
      <right style="thin">
        <color theme="7" tint="-9.9948118533890809E-2"/>
      </right>
      <top style="thin">
        <color theme="7" tint="-9.9917600024414813E-2"/>
      </top>
      <bottom style="thin">
        <color theme="7" tint="-9.9917600024414813E-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5117038483843"/>
      </bottom>
      <diagonal/>
    </border>
    <border>
      <left/>
      <right/>
      <top style="thin">
        <color theme="6" tint="0.79998168889431442"/>
      </top>
      <bottom style="thin">
        <color theme="6" tint="0.79995117038483843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5117038483843"/>
      </bottom>
      <diagonal/>
    </border>
    <border>
      <left style="thin">
        <color theme="6" tint="0.79998168889431442"/>
      </left>
      <right/>
      <top/>
      <bottom/>
      <diagonal/>
    </border>
    <border>
      <left/>
      <right style="thin">
        <color theme="6" tint="0.79998168889431442"/>
      </right>
      <top/>
      <bottom/>
      <diagonal/>
    </border>
    <border>
      <left style="thin">
        <color theme="6" tint="0.79998168889431442"/>
      </left>
      <right/>
      <top style="thin">
        <color theme="6" tint="0.79998168889431442"/>
      </top>
      <bottom style="medium">
        <color theme="6" tint="0.79995117038483843"/>
      </bottom>
      <diagonal/>
    </border>
    <border>
      <left/>
      <right/>
      <top style="thin">
        <color theme="6" tint="0.79998168889431442"/>
      </top>
      <bottom style="medium">
        <color theme="6" tint="0.79995117038483843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medium">
        <color theme="6" tint="0.79995117038483843"/>
      </bottom>
      <diagonal/>
    </border>
    <border>
      <left style="thin">
        <color theme="6" tint="0.59996337778862885"/>
      </left>
      <right/>
      <top style="medium">
        <color theme="6" tint="0.59996337778862885"/>
      </top>
      <bottom style="medium">
        <color theme="6" tint="0.59996337778862885"/>
      </bottom>
      <diagonal/>
    </border>
    <border>
      <left/>
      <right/>
      <top style="medium">
        <color theme="6" tint="0.59996337778862885"/>
      </top>
      <bottom style="medium">
        <color theme="6" tint="0.59996337778862885"/>
      </bottom>
      <diagonal/>
    </border>
    <border>
      <left/>
      <right style="thin">
        <color theme="6" tint="0.59996337778862885"/>
      </right>
      <top style="medium">
        <color theme="6" tint="0.59996337778862885"/>
      </top>
      <bottom style="medium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medium">
        <color theme="6" tint="0.59996337778862885"/>
      </bottom>
      <diagonal/>
    </border>
    <border>
      <left/>
      <right/>
      <top style="thin">
        <color theme="6" tint="0.59996337778862885"/>
      </top>
      <bottom style="medium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medium">
        <color theme="6" tint="0.59996337778862885"/>
      </bottom>
      <diagonal/>
    </border>
    <border>
      <left style="thin">
        <color theme="7" tint="-9.9948118533890809E-2"/>
      </left>
      <right/>
      <top style="thin">
        <color theme="7" tint="-9.9948118533890809E-2"/>
      </top>
      <bottom style="thin">
        <color theme="7" tint="-9.9948118533890809E-2"/>
      </bottom>
      <diagonal/>
    </border>
    <border>
      <left/>
      <right/>
      <top style="thin">
        <color theme="7" tint="-9.9948118533890809E-2"/>
      </top>
      <bottom style="thin">
        <color theme="7" tint="-9.9948118533890809E-2"/>
      </bottom>
      <diagonal/>
    </border>
    <border>
      <left/>
      <right style="thin">
        <color theme="7" tint="-9.9948118533890809E-2"/>
      </right>
      <top style="thin">
        <color theme="7" tint="-9.9948118533890809E-2"/>
      </top>
      <bottom style="thin">
        <color theme="7" tint="-9.9948118533890809E-2"/>
      </bottom>
      <diagonal/>
    </border>
    <border>
      <left style="thin">
        <color theme="7" tint="-9.9948118533890809E-2"/>
      </left>
      <right/>
      <top style="thin">
        <color theme="7" tint="-9.9948118533890809E-2"/>
      </top>
      <bottom style="thin">
        <color theme="7" tint="-0.499984740745262"/>
      </bottom>
      <diagonal/>
    </border>
    <border>
      <left/>
      <right/>
      <top style="thin">
        <color theme="7" tint="-9.9948118533890809E-2"/>
      </top>
      <bottom style="thin">
        <color theme="7" tint="-0.499984740745262"/>
      </bottom>
      <diagonal/>
    </border>
    <border>
      <left/>
      <right style="thin">
        <color theme="7" tint="-9.9948118533890809E-2"/>
      </right>
      <top style="thin">
        <color theme="7" tint="-9.9948118533890809E-2"/>
      </top>
      <bottom style="thin">
        <color theme="7" tint="-0.499984740745262"/>
      </bottom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5117038483843"/>
      </top>
      <bottom/>
      <diagonal/>
    </border>
    <border>
      <left/>
      <right/>
      <top style="thin">
        <color theme="6"/>
      </top>
      <bottom style="thin">
        <color theme="6" tint="0.79998168889431442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ck">
        <color theme="6" tint="0.59996337778862885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ck">
        <color theme="6" tint="0.59996337778862885"/>
      </bottom>
      <diagonal/>
    </border>
    <border>
      <left style="thin">
        <color theme="7" tint="-9.9917600024414813E-2"/>
      </left>
      <right style="thin">
        <color theme="7" tint="-9.9948118533890809E-2"/>
      </right>
      <top style="thin">
        <color theme="7" tint="-9.9948118533890809E-2"/>
      </top>
      <bottom style="thin">
        <color theme="7" tint="-9.9948118533890809E-2"/>
      </bottom>
      <diagonal/>
    </border>
    <border>
      <left style="thin">
        <color theme="7" tint="-9.9917600024414813E-2"/>
      </left>
      <right style="thin">
        <color theme="7" tint="-9.9948118533890809E-2"/>
      </right>
      <top style="thin">
        <color theme="7" tint="-9.9948118533890809E-2"/>
      </top>
      <bottom/>
      <diagonal/>
    </border>
    <border>
      <left style="thin">
        <color theme="7" tint="-9.9948118533890809E-2"/>
      </left>
      <right/>
      <top style="thin">
        <color theme="7" tint="-9.9948118533890809E-2"/>
      </top>
      <bottom/>
      <diagonal/>
    </border>
    <border>
      <left/>
      <right/>
      <top style="thin">
        <color theme="7" tint="-9.9948118533890809E-2"/>
      </top>
      <bottom/>
      <diagonal/>
    </border>
    <border>
      <left/>
      <right style="thin">
        <color theme="7" tint="-9.9948118533890809E-2"/>
      </right>
      <top style="thin">
        <color theme="7" tint="-9.9948118533890809E-2"/>
      </top>
      <bottom/>
      <diagonal/>
    </border>
    <border>
      <left style="thin">
        <color theme="6" tint="0.79998168889431442"/>
      </left>
      <right/>
      <top style="medium">
        <color theme="6" tint="0.79995117038483843"/>
      </top>
      <bottom style="thin">
        <color theme="6" tint="0.79998168889431442"/>
      </bottom>
      <diagonal/>
    </border>
    <border>
      <left/>
      <right/>
      <top style="medium">
        <color theme="6" tint="0.79995117038483843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medium">
        <color theme="6" tint="0.79995117038483843"/>
      </top>
      <bottom style="thin">
        <color theme="6" tint="0.7999816888943144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6" tint="0.59996337778862885"/>
      </left>
      <right/>
      <top/>
      <bottom style="thin">
        <color theme="6" tint="0.7999816888943144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ck">
        <color theme="4"/>
      </left>
      <right style="thick">
        <color theme="4"/>
      </right>
      <top style="thin">
        <color theme="6" tint="0.79998168889431442"/>
      </top>
      <bottom style="thin">
        <color theme="6" tint="0.79998168889431442"/>
      </bottom>
      <diagonal/>
    </border>
    <border>
      <left style="thick">
        <color theme="4"/>
      </left>
      <right style="thick">
        <color theme="4"/>
      </right>
      <top/>
      <bottom style="thin">
        <color theme="6" tint="0.79998168889431442"/>
      </bottom>
      <diagonal/>
    </border>
    <border>
      <left style="thick">
        <color theme="4"/>
      </left>
      <right style="thick">
        <color theme="4"/>
      </right>
      <top style="thin">
        <color theme="6" tint="0.79998168889431442"/>
      </top>
      <bottom style="thick">
        <color theme="4"/>
      </bottom>
      <diagonal/>
    </border>
    <border>
      <left style="thick">
        <color theme="6"/>
      </left>
      <right style="thick">
        <color theme="6"/>
      </right>
      <top/>
      <bottom style="thin">
        <color theme="6" tint="0.79998168889431442"/>
      </bottom>
      <diagonal/>
    </border>
    <border>
      <left style="thick">
        <color theme="6"/>
      </left>
      <right style="thick">
        <color theme="6"/>
      </right>
      <top style="thin">
        <color theme="6" tint="0.79998168889431442"/>
      </top>
      <bottom style="thin">
        <color theme="6" tint="0.79998168889431442"/>
      </bottom>
      <diagonal/>
    </border>
    <border>
      <left style="thick">
        <color theme="6"/>
      </left>
      <right style="thick">
        <color theme="6"/>
      </right>
      <top style="thin">
        <color theme="6" tint="0.79998168889431442"/>
      </top>
      <bottom style="thick">
        <color theme="6"/>
      </bottom>
      <diagonal/>
    </border>
    <border>
      <left style="thin">
        <color theme="7" tint="-9.9948118533890809E-2"/>
      </left>
      <right style="thin">
        <color theme="7" tint="-9.9917600024414813E-2"/>
      </right>
      <top style="thin">
        <color theme="7" tint="-9.9948118533890809E-2"/>
      </top>
      <bottom style="thin">
        <color theme="7" tint="-9.9948118533890809E-2"/>
      </bottom>
      <diagonal/>
    </border>
    <border>
      <left style="thin">
        <color theme="7" tint="-9.9948118533890809E-2"/>
      </left>
      <right style="thin">
        <color theme="7" tint="-9.9917600024414813E-2"/>
      </right>
      <top style="thin">
        <color theme="7" tint="-9.9948118533890809E-2"/>
      </top>
      <bottom/>
      <diagonal/>
    </border>
    <border>
      <left style="thin">
        <color theme="7" tint="-0.499984740745262"/>
      </left>
      <right style="thin">
        <color theme="7" tint="-9.9917600024414813E-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9.9948118533890809E-2"/>
      </left>
      <right style="thin">
        <color theme="7" tint="-9.9917600024414813E-2"/>
      </right>
      <top/>
      <bottom style="thin">
        <color theme="7" tint="-9.9948118533890809E-2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9" fillId="0" borderId="0"/>
    <xf numFmtId="0" fontId="35" fillId="0" borderId="0"/>
  </cellStyleXfs>
  <cellXfs count="337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3" fillId="0" borderId="0" xfId="2" applyFill="1"/>
    <xf numFmtId="0" fontId="3" fillId="3" borderId="0" xfId="2" applyAlignment="1"/>
    <xf numFmtId="0" fontId="0" fillId="0" borderId="0" xfId="0" applyBorder="1"/>
    <xf numFmtId="0" fontId="11" fillId="3" borderId="0" xfId="2" applyFont="1" applyAlignment="1">
      <alignment vertical="center" wrapText="1"/>
    </xf>
    <xf numFmtId="166" fontId="0" fillId="0" borderId="0" xfId="0" applyNumberFormat="1" applyFont="1" applyFill="1" applyBorder="1" applyAlignment="1">
      <alignment horizontal="left"/>
    </xf>
    <xf numFmtId="165" fontId="7" fillId="0" borderId="0" xfId="0" applyNumberFormat="1" applyFont="1" applyBorder="1" applyAlignment="1">
      <alignment horizontal="left" vertical="center"/>
    </xf>
    <xf numFmtId="164" fontId="0" fillId="0" borderId="0" xfId="0" applyNumberFormat="1" applyBorder="1"/>
    <xf numFmtId="0" fontId="0" fillId="0" borderId="1" xfId="0" applyBorder="1"/>
    <xf numFmtId="172" fontId="0" fillId="0" borderId="1" xfId="0" applyNumberFormat="1" applyFont="1" applyFill="1" applyBorder="1" applyAlignment="1">
      <alignment horizontal="left"/>
    </xf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/>
    <xf numFmtId="0" fontId="7" fillId="0" borderId="5" xfId="0" applyFont="1" applyBorder="1"/>
    <xf numFmtId="170" fontId="0" fillId="0" borderId="5" xfId="0" applyNumberFormat="1" applyBorder="1"/>
    <xf numFmtId="0" fontId="6" fillId="4" borderId="5" xfId="3" applyFont="1" applyBorder="1" applyAlignment="1"/>
    <xf numFmtId="169" fontId="0" fillId="0" borderId="5" xfId="0" applyNumberFormat="1" applyBorder="1"/>
    <xf numFmtId="0" fontId="0" fillId="0" borderId="5" xfId="0" applyFont="1" applyBorder="1" applyAlignment="1">
      <alignment vertical="center" wrapText="1"/>
    </xf>
    <xf numFmtId="168" fontId="0" fillId="0" borderId="5" xfId="0" applyNumberFormat="1" applyBorder="1"/>
    <xf numFmtId="164" fontId="0" fillId="0" borderId="5" xfId="0" applyNumberFormat="1" applyBorder="1"/>
    <xf numFmtId="0" fontId="6" fillId="4" borderId="5" xfId="3" applyFont="1" applyBorder="1" applyAlignment="1">
      <alignment horizontal="left"/>
    </xf>
    <xf numFmtId="167" fontId="0" fillId="0" borderId="5" xfId="0" applyNumberFormat="1" applyBorder="1"/>
    <xf numFmtId="0" fontId="7" fillId="4" borderId="5" xfId="3" applyFont="1" applyBorder="1" applyAlignment="1"/>
    <xf numFmtId="167" fontId="6" fillId="4" borderId="5" xfId="3" applyNumberFormat="1" applyFont="1" applyBorder="1" applyAlignment="1"/>
    <xf numFmtId="167" fontId="6" fillId="4" borderId="11" xfId="3" applyNumberFormat="1" applyFont="1" applyBorder="1" applyAlignment="1"/>
    <xf numFmtId="0" fontId="6" fillId="4" borderId="12" xfId="3" applyFont="1" applyBorder="1" applyAlignment="1"/>
    <xf numFmtId="167" fontId="2" fillId="2" borderId="14" xfId="1" applyNumberFormat="1" applyFont="1" applyBorder="1" applyAlignment="1"/>
    <xf numFmtId="0" fontId="2" fillId="2" borderId="15" xfId="1" applyFont="1" applyBorder="1" applyAlignment="1">
      <alignment horizontal="left"/>
    </xf>
    <xf numFmtId="167" fontId="2" fillId="2" borderId="7" xfId="1" applyNumberFormat="1" applyFont="1" applyBorder="1" applyAlignment="1"/>
    <xf numFmtId="0" fontId="2" fillId="2" borderId="8" xfId="1" applyFont="1" applyBorder="1" applyAlignment="1"/>
    <xf numFmtId="0" fontId="2" fillId="0" borderId="5" xfId="0" applyFont="1" applyBorder="1"/>
    <xf numFmtId="0" fontId="0" fillId="0" borderId="17" xfId="0" applyBorder="1"/>
    <xf numFmtId="0" fontId="3" fillId="0" borderId="0" xfId="2" applyFill="1" applyAlignment="1"/>
    <xf numFmtId="0" fontId="0" fillId="0" borderId="0" xfId="0" applyFill="1"/>
    <xf numFmtId="0" fontId="0" fillId="0" borderId="19" xfId="0" applyFont="1" applyBorder="1" applyAlignment="1">
      <alignment vertical="center" wrapText="1"/>
    </xf>
    <xf numFmtId="0" fontId="0" fillId="0" borderId="19" xfId="0" applyBorder="1"/>
    <xf numFmtId="164" fontId="0" fillId="0" borderId="19" xfId="0" applyNumberFormat="1" applyFill="1" applyBorder="1"/>
    <xf numFmtId="0" fontId="7" fillId="0" borderId="17" xfId="0" applyFont="1" applyBorder="1"/>
    <xf numFmtId="170" fontId="0" fillId="0" borderId="17" xfId="0" applyNumberFormat="1" applyBorder="1"/>
    <xf numFmtId="167" fontId="0" fillId="0" borderId="17" xfId="0" applyNumberFormat="1" applyBorder="1"/>
    <xf numFmtId="0" fontId="18" fillId="4" borderId="5" xfId="3" applyFont="1" applyBorder="1" applyAlignment="1"/>
    <xf numFmtId="171" fontId="19" fillId="9" borderId="5" xfId="0" applyNumberFormat="1" applyFont="1" applyFill="1" applyBorder="1"/>
    <xf numFmtId="171" fontId="19" fillId="9" borderId="17" xfId="0" applyNumberFormat="1" applyFont="1" applyFill="1" applyBorder="1"/>
    <xf numFmtId="171" fontId="18" fillId="4" borderId="5" xfId="3" applyNumberFormat="1" applyFont="1" applyBorder="1" applyAlignment="1"/>
    <xf numFmtId="171" fontId="18" fillId="4" borderId="10" xfId="3" applyNumberFormat="1" applyFont="1" applyBorder="1" applyAlignment="1"/>
    <xf numFmtId="171" fontId="19" fillId="2" borderId="13" xfId="1" applyNumberFormat="1" applyFont="1" applyBorder="1" applyAlignment="1"/>
    <xf numFmtId="171" fontId="19" fillId="2" borderId="6" xfId="1" applyNumberFormat="1" applyFont="1" applyBorder="1" applyAlignment="1"/>
    <xf numFmtId="167" fontId="2" fillId="8" borderId="5" xfId="0" applyNumberFormat="1" applyFont="1" applyFill="1" applyBorder="1"/>
    <xf numFmtId="167" fontId="2" fillId="8" borderId="18" xfId="0" applyNumberFormat="1" applyFont="1" applyFill="1" applyBorder="1"/>
    <xf numFmtId="0" fontId="7" fillId="4" borderId="5" xfId="3" applyFont="1" applyBorder="1" applyAlignment="1">
      <alignment horizontal="right"/>
    </xf>
    <xf numFmtId="0" fontId="7" fillId="8" borderId="14" xfId="3" applyFont="1" applyFill="1" applyBorder="1" applyAlignment="1">
      <alignment horizontal="right"/>
    </xf>
    <xf numFmtId="0" fontId="7" fillId="8" borderId="7" xfId="3" applyFont="1" applyFill="1" applyBorder="1" applyAlignment="1">
      <alignment horizontal="right"/>
    </xf>
    <xf numFmtId="0" fontId="0" fillId="0" borderId="0" xfId="0"/>
    <xf numFmtId="167" fontId="13" fillId="8" borderId="18" xfId="1" applyNumberFormat="1" applyFont="1" applyFill="1" applyBorder="1" applyAlignment="1"/>
    <xf numFmtId="0" fontId="6" fillId="4" borderId="20" xfId="3" applyFont="1" applyBorder="1" applyAlignment="1"/>
    <xf numFmtId="0" fontId="6" fillId="4" borderId="21" xfId="3" applyFont="1" applyBorder="1" applyAlignment="1"/>
    <xf numFmtId="0" fontId="6" fillId="4" borderId="22" xfId="3" applyFont="1" applyBorder="1" applyAlignment="1"/>
    <xf numFmtId="0" fontId="11" fillId="0" borderId="0" xfId="2" applyFont="1" applyFill="1"/>
    <xf numFmtId="0" fontId="21" fillId="0" borderId="0" xfId="0" applyFo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23" fillId="0" borderId="0" xfId="0" applyFont="1" applyFill="1" applyBorder="1"/>
    <xf numFmtId="0" fontId="15" fillId="10" borderId="23" xfId="4" applyFont="1" applyFill="1" applyBorder="1" applyAlignment="1"/>
    <xf numFmtId="0" fontId="15" fillId="10" borderId="24" xfId="4" applyFont="1" applyFill="1" applyBorder="1" applyAlignment="1"/>
    <xf numFmtId="0" fontId="15" fillId="10" borderId="25" xfId="4" applyFont="1" applyFill="1" applyBorder="1" applyAlignment="1"/>
    <xf numFmtId="0" fontId="11" fillId="0" borderId="0" xfId="5" applyFont="1" applyFill="1" applyBorder="1" applyAlignment="1"/>
    <xf numFmtId="0" fontId="22" fillId="0" borderId="0" xfId="5" applyFont="1" applyFill="1" applyBorder="1" applyAlignment="1"/>
    <xf numFmtId="49" fontId="9" fillId="0" borderId="0" xfId="0" applyNumberFormat="1" applyFont="1" applyFill="1" applyBorder="1" applyAlignment="1">
      <alignment horizontal="right"/>
    </xf>
    <xf numFmtId="164" fontId="0" fillId="0" borderId="1" xfId="0" applyNumberFormat="1" applyBorder="1"/>
    <xf numFmtId="164" fontId="0" fillId="0" borderId="0" xfId="0" applyNumberFormat="1"/>
    <xf numFmtId="164" fontId="3" fillId="0" borderId="0" xfId="2" applyNumberFormat="1" applyFill="1"/>
    <xf numFmtId="164" fontId="0" fillId="0" borderId="2" xfId="0" applyNumberFormat="1" applyBorder="1"/>
    <xf numFmtId="164" fontId="0" fillId="0" borderId="4" xfId="0" applyNumberFormat="1" applyFont="1" applyBorder="1"/>
    <xf numFmtId="0" fontId="7" fillId="0" borderId="0" xfId="0" applyFont="1" applyFill="1" applyBorder="1" applyAlignment="1"/>
    <xf numFmtId="167" fontId="2" fillId="9" borderId="5" xfId="0" applyNumberFormat="1" applyFont="1" applyFill="1" applyBorder="1"/>
    <xf numFmtId="0" fontId="6" fillId="13" borderId="31" xfId="3" applyFont="1" applyFill="1" applyBorder="1" applyAlignment="1"/>
    <xf numFmtId="0" fontId="7" fillId="13" borderId="31" xfId="3" applyFont="1" applyFill="1" applyBorder="1" applyAlignment="1">
      <alignment horizontal="right"/>
    </xf>
    <xf numFmtId="170" fontId="0" fillId="0" borderId="31" xfId="0" applyNumberFormat="1" applyBorder="1"/>
    <xf numFmtId="169" fontId="0" fillId="0" borderId="31" xfId="0" applyNumberFormat="1" applyBorder="1"/>
    <xf numFmtId="168" fontId="0" fillId="0" borderId="31" xfId="0" applyNumberFormat="1" applyBorder="1"/>
    <xf numFmtId="0" fontId="7" fillId="11" borderId="31" xfId="3" applyFont="1" applyFill="1" applyBorder="1" applyAlignment="1">
      <alignment horizontal="right"/>
    </xf>
    <xf numFmtId="164" fontId="0" fillId="0" borderId="31" xfId="0" applyNumberFormat="1" applyBorder="1"/>
    <xf numFmtId="164" fontId="0" fillId="0" borderId="31" xfId="0" applyNumberFormat="1" applyFill="1" applyBorder="1"/>
    <xf numFmtId="170" fontId="0" fillId="0" borderId="33" xfId="0" applyNumberFormat="1" applyBorder="1"/>
    <xf numFmtId="170" fontId="0" fillId="0" borderId="32" xfId="0" applyNumberFormat="1" applyBorder="1"/>
    <xf numFmtId="0" fontId="7" fillId="11" borderId="34" xfId="3" applyFont="1" applyFill="1" applyBorder="1" applyAlignment="1">
      <alignment horizontal="right"/>
    </xf>
    <xf numFmtId="0" fontId="7" fillId="11" borderId="35" xfId="3" applyFont="1" applyFill="1" applyBorder="1" applyAlignment="1">
      <alignment horizontal="right"/>
    </xf>
    <xf numFmtId="0" fontId="7" fillId="11" borderId="36" xfId="3" applyFont="1" applyFill="1" applyBorder="1" applyAlignment="1">
      <alignment horizontal="right"/>
    </xf>
    <xf numFmtId="0" fontId="7" fillId="0" borderId="0" xfId="0" applyFont="1" applyBorder="1"/>
    <xf numFmtId="0" fontId="9" fillId="7" borderId="37" xfId="0" applyFont="1" applyFill="1" applyBorder="1" applyAlignment="1">
      <alignment horizontal="center"/>
    </xf>
    <xf numFmtId="0" fontId="10" fillId="14" borderId="37" xfId="5" applyFont="1" applyFill="1" applyBorder="1" applyAlignment="1"/>
    <xf numFmtId="0" fontId="22" fillId="14" borderId="37" xfId="5" applyFont="1" applyFill="1" applyBorder="1" applyAlignment="1"/>
    <xf numFmtId="0" fontId="0" fillId="0" borderId="37" xfId="0" applyBorder="1"/>
    <xf numFmtId="0" fontId="9" fillId="0" borderId="37" xfId="0" applyFont="1" applyFill="1" applyBorder="1"/>
    <xf numFmtId="0" fontId="9" fillId="7" borderId="37" xfId="0" applyFont="1" applyFill="1" applyBorder="1"/>
    <xf numFmtId="0" fontId="9" fillId="0" borderId="37" xfId="0" applyFont="1" applyFill="1" applyBorder="1" applyAlignment="1">
      <alignment horizontal="right"/>
    </xf>
    <xf numFmtId="0" fontId="9" fillId="7" borderId="37" xfId="0" applyFont="1" applyFill="1" applyBorder="1" applyAlignment="1">
      <alignment horizontal="right"/>
    </xf>
    <xf numFmtId="49" fontId="9" fillId="0" borderId="37" xfId="0" applyNumberFormat="1" applyFont="1" applyFill="1" applyBorder="1" applyAlignment="1">
      <alignment horizontal="right"/>
    </xf>
    <xf numFmtId="49" fontId="9" fillId="7" borderId="37" xfId="0" applyNumberFormat="1" applyFont="1" applyFill="1" applyBorder="1" applyAlignment="1">
      <alignment horizontal="right"/>
    </xf>
    <xf numFmtId="0" fontId="0" fillId="0" borderId="37" xfId="0" applyFill="1" applyBorder="1"/>
    <xf numFmtId="0" fontId="7" fillId="0" borderId="39" xfId="0" applyFont="1" applyBorder="1"/>
    <xf numFmtId="0" fontId="10" fillId="14" borderId="40" xfId="5" applyFont="1" applyFill="1" applyBorder="1" applyAlignment="1"/>
    <xf numFmtId="0" fontId="22" fillId="14" borderId="40" xfId="5" applyFont="1" applyFill="1" applyBorder="1" applyAlignment="1"/>
    <xf numFmtId="0" fontId="11" fillId="12" borderId="38" xfId="5" applyFont="1" applyFill="1" applyBorder="1" applyAlignment="1"/>
    <xf numFmtId="0" fontId="15" fillId="12" borderId="38" xfId="5" applyFont="1" applyFill="1" applyBorder="1" applyAlignment="1">
      <alignment vertical="center"/>
    </xf>
    <xf numFmtId="0" fontId="15" fillId="15" borderId="0" xfId="2" applyFont="1" applyFill="1" applyAlignment="1">
      <alignment horizontal="left"/>
    </xf>
    <xf numFmtId="0" fontId="15" fillId="3" borderId="0" xfId="2" applyFont="1" applyAlignment="1"/>
    <xf numFmtId="0" fontId="6" fillId="0" borderId="0" xfId="3" applyFont="1" applyFill="1" applyAlignment="1">
      <alignment horizontal="left"/>
    </xf>
    <xf numFmtId="0" fontId="0" fillId="0" borderId="40" xfId="0" applyBorder="1"/>
    <xf numFmtId="0" fontId="0" fillId="0" borderId="42" xfId="0" applyBorder="1"/>
    <xf numFmtId="0" fontId="0" fillId="0" borderId="41" xfId="0" applyBorder="1"/>
    <xf numFmtId="0" fontId="0" fillId="0" borderId="43" xfId="0" applyBorder="1"/>
    <xf numFmtId="0" fontId="0" fillId="0" borderId="44" xfId="0" applyBorder="1"/>
    <xf numFmtId="167" fontId="21" fillId="0" borderId="0" xfId="0" applyNumberFormat="1" applyFont="1"/>
    <xf numFmtId="169" fontId="9" fillId="7" borderId="37" xfId="0" applyNumberFormat="1" applyFont="1" applyFill="1" applyBorder="1"/>
    <xf numFmtId="2" fontId="9" fillId="7" borderId="37" xfId="0" applyNumberFormat="1" applyFont="1" applyFill="1" applyBorder="1"/>
    <xf numFmtId="2" fontId="9" fillId="7" borderId="37" xfId="0" applyNumberFormat="1" applyFont="1" applyFill="1" applyBorder="1" applyAlignment="1">
      <alignment horizontal="right"/>
    </xf>
    <xf numFmtId="1" fontId="9" fillId="7" borderId="37" xfId="0" applyNumberFormat="1" applyFont="1" applyFill="1" applyBorder="1"/>
    <xf numFmtId="0" fontId="15" fillId="3" borderId="30" xfId="2" applyFont="1" applyBorder="1" applyAlignment="1"/>
    <xf numFmtId="0" fontId="15" fillId="3" borderId="0" xfId="2" applyFont="1" applyBorder="1" applyAlignment="1"/>
    <xf numFmtId="167" fontId="7" fillId="8" borderId="13" xfId="1" applyNumberFormat="1" applyFont="1" applyFill="1" applyBorder="1" applyAlignment="1"/>
    <xf numFmtId="167" fontId="7" fillId="8" borderId="14" xfId="1" applyNumberFormat="1" applyFont="1" applyFill="1" applyBorder="1" applyAlignment="1"/>
    <xf numFmtId="0" fontId="14" fillId="7" borderId="59" xfId="0" applyFont="1" applyFill="1" applyBorder="1" applyAlignment="1"/>
    <xf numFmtId="0" fontId="14" fillId="7" borderId="60" xfId="0" applyFont="1" applyFill="1" applyBorder="1" applyAlignment="1"/>
    <xf numFmtId="0" fontId="11" fillId="0" borderId="0" xfId="2" applyFont="1" applyFill="1" applyAlignment="1">
      <alignment vertical="center" wrapText="1"/>
    </xf>
    <xf numFmtId="167" fontId="0" fillId="8" borderId="5" xfId="0" applyNumberFormat="1" applyFont="1" applyFill="1" applyBorder="1"/>
    <xf numFmtId="0" fontId="0" fillId="0" borderId="3" xfId="0" applyFill="1" applyBorder="1"/>
    <xf numFmtId="0" fontId="0" fillId="0" borderId="40" xfId="0" applyFill="1" applyBorder="1"/>
    <xf numFmtId="0" fontId="0" fillId="0" borderId="0" xfId="0" applyAlignment="1">
      <alignment horizontal="right"/>
    </xf>
    <xf numFmtId="0" fontId="25" fillId="3" borderId="66" xfId="2" applyFont="1" applyBorder="1" applyAlignment="1">
      <alignment horizontal="center"/>
    </xf>
    <xf numFmtId="0" fontId="0" fillId="0" borderId="1" xfId="0" applyFont="1" applyBorder="1"/>
    <xf numFmtId="167" fontId="0" fillId="0" borderId="1" xfId="0" applyNumberFormat="1" applyFont="1" applyBorder="1"/>
    <xf numFmtId="0" fontId="16" fillId="3" borderId="0" xfId="2" applyFont="1" applyAlignment="1">
      <alignment vertical="center" wrapText="1"/>
    </xf>
    <xf numFmtId="0" fontId="25" fillId="3" borderId="66" xfId="2" applyFont="1" applyBorder="1" applyAlignment="1">
      <alignment horizontal="left"/>
    </xf>
    <xf numFmtId="0" fontId="2" fillId="0" borderId="1" xfId="0" applyFont="1" applyBorder="1"/>
    <xf numFmtId="0" fontId="0" fillId="0" borderId="70" xfId="0" applyFont="1" applyBorder="1"/>
    <xf numFmtId="167" fontId="2" fillId="9" borderId="71" xfId="0" applyNumberFormat="1" applyFont="1" applyFill="1" applyBorder="1"/>
    <xf numFmtId="0" fontId="25" fillId="3" borderId="66" xfId="2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9" xfId="0" applyBorder="1"/>
    <xf numFmtId="49" fontId="9" fillId="7" borderId="39" xfId="0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0" fontId="26" fillId="0" borderId="37" xfId="0" applyFont="1" applyFill="1" applyBorder="1"/>
    <xf numFmtId="0" fontId="26" fillId="0" borderId="37" xfId="0" applyFont="1" applyFill="1" applyBorder="1" applyAlignment="1">
      <alignment horizontal="right"/>
    </xf>
    <xf numFmtId="0" fontId="0" fillId="0" borderId="17" xfId="0" applyFont="1" applyFill="1" applyBorder="1"/>
    <xf numFmtId="0" fontId="2" fillId="0" borderId="5" xfId="0" applyFont="1" applyFill="1" applyBorder="1"/>
    <xf numFmtId="0" fontId="2" fillId="0" borderId="17" xfId="0" applyFont="1" applyFill="1" applyBorder="1"/>
    <xf numFmtId="0" fontId="0" fillId="0" borderId="17" xfId="0" applyFont="1" applyBorder="1"/>
    <xf numFmtId="0" fontId="0" fillId="0" borderId="5" xfId="0" applyFont="1" applyBorder="1"/>
    <xf numFmtId="0" fontId="10" fillId="16" borderId="80" xfId="5" applyFont="1" applyFill="1" applyBorder="1" applyAlignment="1"/>
    <xf numFmtId="2" fontId="9" fillId="0" borderId="81" xfId="0" applyNumberFormat="1" applyFont="1" applyFill="1" applyBorder="1"/>
    <xf numFmtId="2" fontId="9" fillId="0" borderId="81" xfId="0" applyNumberFormat="1" applyFont="1" applyFill="1" applyBorder="1" applyAlignment="1">
      <alignment horizontal="right"/>
    </xf>
    <xf numFmtId="169" fontId="23" fillId="0" borderId="81" xfId="0" applyNumberFormat="1" applyFont="1" applyFill="1" applyBorder="1"/>
    <xf numFmtId="1" fontId="23" fillId="0" borderId="81" xfId="0" applyNumberFormat="1" applyFont="1" applyFill="1" applyBorder="1"/>
    <xf numFmtId="0" fontId="23" fillId="0" borderId="81" xfId="0" applyFont="1" applyFill="1" applyBorder="1"/>
    <xf numFmtId="0" fontId="9" fillId="0" borderId="81" xfId="0" applyFont="1" applyFill="1" applyBorder="1" applyAlignment="1">
      <alignment horizontal="center"/>
    </xf>
    <xf numFmtId="164" fontId="9" fillId="0" borderId="81" xfId="0" applyNumberFormat="1" applyFont="1" applyFill="1" applyBorder="1"/>
    <xf numFmtId="164" fontId="23" fillId="0" borderId="81" xfId="0" applyNumberFormat="1" applyFont="1" applyFill="1" applyBorder="1"/>
    <xf numFmtId="0" fontId="10" fillId="16" borderId="81" xfId="5" applyFont="1" applyFill="1" applyBorder="1" applyAlignment="1"/>
    <xf numFmtId="0" fontId="9" fillId="0" borderId="81" xfId="0" applyFont="1" applyBorder="1" applyAlignment="1">
      <alignment vertical="top"/>
    </xf>
    <xf numFmtId="0" fontId="0" fillId="0" borderId="81" xfId="0" applyBorder="1"/>
    <xf numFmtId="0" fontId="23" fillId="0" borderId="81" xfId="0" applyFont="1" applyBorder="1" applyAlignment="1">
      <alignment vertical="top"/>
    </xf>
    <xf numFmtId="0" fontId="23" fillId="0" borderId="81" xfId="0" applyFont="1" applyBorder="1"/>
    <xf numFmtId="0" fontId="15" fillId="16" borderId="81" xfId="4" applyFont="1" applyFill="1" applyBorder="1" applyAlignment="1"/>
    <xf numFmtId="164" fontId="0" fillId="0" borderId="81" xfId="0" applyNumberFormat="1" applyBorder="1"/>
    <xf numFmtId="164" fontId="0" fillId="0" borderId="80" xfId="0" applyNumberFormat="1" applyBorder="1"/>
    <xf numFmtId="164" fontId="0" fillId="0" borderId="82" xfId="0" applyNumberFormat="1" applyBorder="1"/>
    <xf numFmtId="0" fontId="0" fillId="0" borderId="80" xfId="0" applyBorder="1"/>
    <xf numFmtId="164" fontId="0" fillId="0" borderId="83" xfId="0" applyNumberFormat="1" applyFont="1" applyBorder="1"/>
    <xf numFmtId="174" fontId="28" fillId="9" borderId="5" xfId="0" applyNumberFormat="1" applyFont="1" applyFill="1" applyBorder="1"/>
    <xf numFmtId="0" fontId="15" fillId="10" borderId="0" xfId="2" applyFont="1" applyFill="1" applyBorder="1" applyAlignment="1"/>
    <xf numFmtId="0" fontId="15" fillId="10" borderId="84" xfId="2" applyFont="1" applyFill="1" applyBorder="1" applyAlignment="1"/>
    <xf numFmtId="0" fontId="15" fillId="17" borderId="85" xfId="2" applyFont="1" applyFill="1" applyBorder="1" applyAlignment="1"/>
    <xf numFmtId="0" fontId="15" fillId="17" borderId="86" xfId="2" applyFont="1" applyFill="1" applyBorder="1" applyAlignment="1"/>
    <xf numFmtId="167" fontId="0" fillId="9" borderId="5" xfId="0" applyNumberFormat="1" applyFont="1" applyFill="1" applyBorder="1"/>
    <xf numFmtId="167" fontId="0" fillId="9" borderId="18" xfId="0" applyNumberFormat="1" applyFont="1" applyFill="1" applyBorder="1"/>
    <xf numFmtId="167" fontId="13" fillId="8" borderId="18" xfId="1" applyNumberFormat="1" applyFont="1" applyFill="1" applyBorder="1" applyAlignment="1">
      <alignment horizontal="right"/>
    </xf>
    <xf numFmtId="167" fontId="7" fillId="8" borderId="18" xfId="1" applyNumberFormat="1" applyFont="1" applyFill="1" applyBorder="1" applyAlignment="1">
      <alignment horizontal="right"/>
    </xf>
    <xf numFmtId="167" fontId="0" fillId="9" borderId="6" xfId="0" applyNumberFormat="1" applyFont="1" applyFill="1" applyBorder="1"/>
    <xf numFmtId="167" fontId="7" fillId="9" borderId="5" xfId="0" applyNumberFormat="1" applyFont="1" applyFill="1" applyBorder="1"/>
    <xf numFmtId="167" fontId="7" fillId="9" borderId="71" xfId="0" applyNumberFormat="1" applyFont="1" applyFill="1" applyBorder="1"/>
    <xf numFmtId="0" fontId="31" fillId="0" borderId="1" xfId="0" applyFont="1" applyBorder="1" applyAlignment="1">
      <alignment horizontal="center"/>
    </xf>
    <xf numFmtId="167" fontId="2" fillId="0" borderId="0" xfId="0" applyNumberFormat="1" applyFont="1" applyFill="1" applyBorder="1"/>
    <xf numFmtId="167" fontId="13" fillId="8" borderId="0" xfId="1" applyNumberFormat="1" applyFont="1" applyFill="1" applyBorder="1" applyAlignment="1">
      <alignment horizontal="right"/>
    </xf>
    <xf numFmtId="167" fontId="0" fillId="8" borderId="87" xfId="0" applyNumberFormat="1" applyFont="1" applyFill="1" applyBorder="1"/>
    <xf numFmtId="167" fontId="2" fillId="8" borderId="87" xfId="0" applyNumberFormat="1" applyFont="1" applyFill="1" applyBorder="1"/>
    <xf numFmtId="167" fontId="2" fillId="8" borderId="88" xfId="0" applyNumberFormat="1" applyFont="1" applyFill="1" applyBorder="1"/>
    <xf numFmtId="167" fontId="2" fillId="8" borderId="89" xfId="0" applyNumberFormat="1" applyFont="1" applyFill="1" applyBorder="1"/>
    <xf numFmtId="167" fontId="13" fillId="8" borderId="88" xfId="1" applyNumberFormat="1" applyFont="1" applyFill="1" applyBorder="1" applyAlignment="1">
      <alignment horizontal="right"/>
    </xf>
    <xf numFmtId="167" fontId="0" fillId="0" borderId="0" xfId="0" applyNumberFormat="1" applyFont="1" applyFill="1" applyBorder="1"/>
    <xf numFmtId="167" fontId="13" fillId="8" borderId="90" xfId="1" applyNumberFormat="1" applyFont="1" applyFill="1" applyBorder="1" applyAlignment="1">
      <alignment horizontal="right"/>
    </xf>
    <xf numFmtId="167" fontId="0" fillId="18" borderId="91" xfId="0" applyNumberFormat="1" applyFont="1" applyFill="1" applyBorder="1"/>
    <xf numFmtId="167" fontId="2" fillId="18" borderId="91" xfId="0" applyNumberFormat="1" applyFont="1" applyFill="1" applyBorder="1"/>
    <xf numFmtId="167" fontId="2" fillId="18" borderId="90" xfId="0" applyNumberFormat="1" applyFont="1" applyFill="1" applyBorder="1"/>
    <xf numFmtId="167" fontId="2" fillId="18" borderId="92" xfId="0" applyNumberFormat="1" applyFont="1" applyFill="1" applyBorder="1"/>
    <xf numFmtId="2" fontId="19" fillId="8" borderId="5" xfId="0" applyNumberFormat="1" applyFont="1" applyFill="1" applyBorder="1"/>
    <xf numFmtId="2" fontId="28" fillId="9" borderId="5" xfId="0" applyNumberFormat="1" applyFont="1" applyFill="1" applyBorder="1"/>
    <xf numFmtId="0" fontId="0" fillId="0" borderId="43" xfId="0" applyNumberFormat="1" applyFont="1" applyFill="1" applyBorder="1" applyAlignment="1">
      <alignment horizontal="left"/>
    </xf>
    <xf numFmtId="173" fontId="7" fillId="0" borderId="27" xfId="0" applyNumberFormat="1" applyFont="1" applyFill="1" applyBorder="1" applyAlignment="1">
      <alignment horizontal="left"/>
    </xf>
    <xf numFmtId="173" fontId="7" fillId="0" borderId="28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0" fontId="7" fillId="0" borderId="39" xfId="0" applyFont="1" applyBorder="1" applyAlignment="1"/>
    <xf numFmtId="0" fontId="0" fillId="0" borderId="37" xfId="0" applyBorder="1" applyAlignment="1"/>
    <xf numFmtId="0" fontId="9" fillId="0" borderId="72" xfId="0" applyFont="1" applyBorder="1" applyAlignment="1"/>
    <xf numFmtId="0" fontId="9" fillId="0" borderId="72" xfId="0" applyFont="1" applyBorder="1" applyAlignment="1">
      <alignment wrapText="1"/>
    </xf>
    <xf numFmtId="0" fontId="9" fillId="0" borderId="72" xfId="0" applyFont="1" applyFill="1" applyBorder="1" applyAlignment="1">
      <alignment wrapText="1"/>
    </xf>
    <xf numFmtId="0" fontId="9" fillId="0" borderId="73" xfId="0" applyFont="1" applyBorder="1" applyAlignment="1"/>
    <xf numFmtId="167" fontId="32" fillId="8" borderId="18" xfId="1" applyNumberFormat="1" applyFont="1" applyFill="1" applyBorder="1" applyAlignment="1">
      <alignment horizontal="right"/>
    </xf>
    <xf numFmtId="167" fontId="33" fillId="9" borderId="5" xfId="0" applyNumberFormat="1" applyFont="1" applyFill="1" applyBorder="1"/>
    <xf numFmtId="167" fontId="33" fillId="9" borderId="18" xfId="0" applyNumberFormat="1" applyFont="1" applyFill="1" applyBorder="1"/>
    <xf numFmtId="167" fontId="7" fillId="8" borderId="13" xfId="1" applyNumberFormat="1" applyFont="1" applyFill="1" applyBorder="1" applyAlignment="1">
      <alignment horizontal="right" wrapText="1"/>
    </xf>
    <xf numFmtId="167" fontId="7" fillId="4" borderId="5" xfId="3" applyNumberFormat="1" applyFont="1" applyBorder="1" applyAlignment="1">
      <alignment horizontal="left"/>
    </xf>
    <xf numFmtId="0" fontId="34" fillId="3" borderId="0" xfId="2" applyFont="1" applyAlignment="1">
      <alignment horizontal="right" vertical="center" wrapText="1"/>
    </xf>
    <xf numFmtId="0" fontId="9" fillId="0" borderId="93" xfId="0" applyFont="1" applyFill="1" applyBorder="1" applyAlignment="1">
      <alignment horizontal="center"/>
    </xf>
    <xf numFmtId="0" fontId="11" fillId="12" borderId="95" xfId="5" applyFont="1" applyFill="1" applyBorder="1" applyAlignment="1"/>
    <xf numFmtId="0" fontId="22" fillId="14" borderId="96" xfId="5" applyFont="1" applyFill="1" applyBorder="1" applyAlignment="1"/>
    <xf numFmtId="0" fontId="9" fillId="7" borderId="93" xfId="0" applyFont="1" applyFill="1" applyBorder="1" applyAlignment="1">
      <alignment horizontal="right"/>
    </xf>
    <xf numFmtId="0" fontId="9" fillId="7" borderId="93" xfId="0" applyFont="1" applyFill="1" applyBorder="1"/>
    <xf numFmtId="0" fontId="10" fillId="14" borderId="93" xfId="5" applyFont="1" applyFill="1" applyBorder="1" applyAlignment="1">
      <alignment horizontal="right"/>
    </xf>
    <xf numFmtId="0" fontId="9" fillId="0" borderId="93" xfId="0" applyFont="1" applyFill="1" applyBorder="1"/>
    <xf numFmtId="0" fontId="9" fillId="0" borderId="93" xfId="0" applyFont="1" applyFill="1" applyBorder="1" applyAlignment="1">
      <alignment horizontal="right"/>
    </xf>
    <xf numFmtId="0" fontId="0" fillId="0" borderId="40" xfId="0" applyBorder="1" applyAlignment="1">
      <alignment wrapText="1"/>
    </xf>
    <xf numFmtId="0" fontId="16" fillId="3" borderId="0" xfId="2" applyFont="1" applyAlignment="1">
      <alignment horizontal="right" vertical="center" wrapText="1"/>
    </xf>
    <xf numFmtId="0" fontId="20" fillId="3" borderId="0" xfId="2" applyFont="1" applyAlignment="1">
      <alignment horizontal="center" vertical="center" wrapText="1"/>
    </xf>
    <xf numFmtId="167" fontId="0" fillId="0" borderId="0" xfId="0" applyNumberFormat="1"/>
    <xf numFmtId="176" fontId="9" fillId="0" borderId="93" xfId="0" applyNumberFormat="1" applyFont="1" applyFill="1" applyBorder="1"/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77" xfId="0" applyFont="1" applyBorder="1" applyAlignment="1">
      <alignment horizontal="left"/>
    </xf>
    <xf numFmtId="0" fontId="7" fillId="0" borderId="78" xfId="0" applyFont="1" applyBorder="1" applyAlignment="1">
      <alignment horizontal="left"/>
    </xf>
    <xf numFmtId="0" fontId="7" fillId="0" borderId="79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2" fillId="2" borderId="6" xfId="1" applyFont="1" applyBorder="1" applyAlignment="1">
      <alignment horizontal="left"/>
    </xf>
    <xf numFmtId="0" fontId="2" fillId="2" borderId="7" xfId="1" applyFont="1" applyBorder="1" applyAlignment="1">
      <alignment horizontal="left"/>
    </xf>
    <xf numFmtId="0" fontId="2" fillId="2" borderId="8" xfId="1" applyFont="1" applyBorder="1" applyAlignment="1">
      <alignment horizontal="left"/>
    </xf>
    <xf numFmtId="0" fontId="0" fillId="0" borderId="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4" borderId="6" xfId="3" applyFont="1" applyBorder="1" applyAlignment="1">
      <alignment horizontal="left"/>
    </xf>
    <xf numFmtId="0" fontId="6" fillId="4" borderId="7" xfId="3" applyFont="1" applyBorder="1" applyAlignment="1">
      <alignment horizontal="left"/>
    </xf>
    <xf numFmtId="0" fontId="6" fillId="4" borderId="8" xfId="3" applyFont="1" applyBorder="1" applyAlignment="1">
      <alignment horizontal="left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175" fontId="7" fillId="0" borderId="6" xfId="0" applyNumberFormat="1" applyFont="1" applyBorder="1" applyAlignment="1">
      <alignment horizontal="left"/>
    </xf>
    <xf numFmtId="175" fontId="7" fillId="0" borderId="7" xfId="0" applyNumberFormat="1" applyFont="1" applyBorder="1" applyAlignment="1">
      <alignment horizontal="left"/>
    </xf>
    <xf numFmtId="175" fontId="7" fillId="0" borderId="8" xfId="0" applyNumberFormat="1" applyFont="1" applyBorder="1" applyAlignment="1">
      <alignment horizontal="left"/>
    </xf>
    <xf numFmtId="0" fontId="0" fillId="0" borderId="6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15" fillId="3" borderId="0" xfId="2" applyFont="1" applyAlignment="1">
      <alignment horizontal="left"/>
    </xf>
    <xf numFmtId="171" fontId="17" fillId="9" borderId="5" xfId="0" applyNumberFormat="1" applyFont="1" applyFill="1" applyBorder="1" applyAlignment="1">
      <alignment horizontal="center" vertical="center" wrapText="1"/>
    </xf>
    <xf numFmtId="0" fontId="20" fillId="3" borderId="10" xfId="2" applyFont="1" applyBorder="1" applyAlignment="1">
      <alignment horizontal="center" vertical="center" wrapText="1"/>
    </xf>
    <xf numFmtId="0" fontId="20" fillId="3" borderId="11" xfId="2" applyFont="1" applyBorder="1" applyAlignment="1">
      <alignment horizontal="center" vertical="center" wrapText="1"/>
    </xf>
    <xf numFmtId="0" fontId="20" fillId="3" borderId="12" xfId="2" applyFont="1" applyBorder="1" applyAlignment="1">
      <alignment horizontal="center" vertical="center" wrapText="1"/>
    </xf>
    <xf numFmtId="0" fontId="20" fillId="3" borderId="13" xfId="2" applyFont="1" applyBorder="1" applyAlignment="1">
      <alignment horizontal="center" vertical="center" wrapText="1"/>
    </xf>
    <xf numFmtId="0" fontId="20" fillId="3" borderId="14" xfId="2" applyFont="1" applyBorder="1" applyAlignment="1">
      <alignment horizontal="center" vertical="center" wrapText="1"/>
    </xf>
    <xf numFmtId="0" fontId="20" fillId="3" borderId="15" xfId="2" applyFont="1" applyBorder="1" applyAlignment="1">
      <alignment horizontal="center" vertical="center" wrapText="1"/>
    </xf>
    <xf numFmtId="0" fontId="6" fillId="0" borderId="29" xfId="3" applyFont="1" applyFill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165" fontId="7" fillId="0" borderId="26" xfId="0" applyNumberFormat="1" applyFont="1" applyFill="1" applyBorder="1" applyAlignment="1">
      <alignment horizontal="left"/>
    </xf>
    <xf numFmtId="165" fontId="7" fillId="0" borderId="27" xfId="0" applyNumberFormat="1" applyFont="1" applyFill="1" applyBorder="1" applyAlignment="1">
      <alignment horizontal="left"/>
    </xf>
    <xf numFmtId="165" fontId="7" fillId="0" borderId="28" xfId="0" applyNumberFormat="1" applyFont="1" applyFill="1" applyBorder="1" applyAlignment="1">
      <alignment horizontal="left"/>
    </xf>
    <xf numFmtId="165" fontId="7" fillId="0" borderId="23" xfId="0" applyNumberFormat="1" applyFont="1" applyBorder="1" applyAlignment="1">
      <alignment horizontal="left"/>
    </xf>
    <xf numFmtId="165" fontId="7" fillId="0" borderId="24" xfId="0" applyNumberFormat="1" applyFont="1" applyBorder="1" applyAlignment="1">
      <alignment horizontal="left"/>
    </xf>
    <xf numFmtId="165" fontId="7" fillId="0" borderId="25" xfId="0" applyNumberFormat="1" applyFont="1" applyBorder="1" applyAlignment="1">
      <alignment horizontal="left"/>
    </xf>
    <xf numFmtId="0" fontId="30" fillId="0" borderId="81" xfId="0" applyFont="1" applyBorder="1" applyAlignment="1">
      <alignment horizontal="left"/>
    </xf>
    <xf numFmtId="0" fontId="7" fillId="0" borderId="8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59" xfId="0" quotePrefix="1" applyFont="1" applyBorder="1" applyAlignment="1">
      <alignment horizontal="left" vertical="center" wrapText="1"/>
    </xf>
    <xf numFmtId="0" fontId="7" fillId="0" borderId="60" xfId="0" quotePrefix="1" applyFont="1" applyBorder="1" applyAlignment="1">
      <alignment horizontal="left" vertical="center" wrapText="1"/>
    </xf>
    <xf numFmtId="0" fontId="7" fillId="0" borderId="61" xfId="0" quotePrefix="1" applyFont="1" applyBorder="1" applyAlignment="1">
      <alignment horizontal="left" vertical="center" wrapText="1"/>
    </xf>
    <xf numFmtId="0" fontId="7" fillId="0" borderId="74" xfId="0" quotePrefix="1" applyFont="1" applyFill="1" applyBorder="1" applyAlignment="1">
      <alignment horizontal="left" vertical="center" wrapText="1"/>
    </xf>
    <xf numFmtId="0" fontId="7" fillId="0" borderId="75" xfId="0" quotePrefix="1" applyFont="1" applyFill="1" applyBorder="1" applyAlignment="1">
      <alignment horizontal="left" vertical="center" wrapText="1"/>
    </xf>
    <xf numFmtId="0" fontId="7" fillId="0" borderId="76" xfId="0" quotePrefix="1" applyFont="1" applyFill="1" applyBorder="1" applyAlignment="1">
      <alignment horizontal="left" vertical="center" wrapText="1"/>
    </xf>
    <xf numFmtId="0" fontId="7" fillId="0" borderId="81" xfId="0" quotePrefix="1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24" fillId="0" borderId="59" xfId="0" quotePrefix="1" applyFont="1" applyFill="1" applyBorder="1" applyAlignment="1">
      <alignment horizontal="left" vertical="center" wrapText="1"/>
    </xf>
    <xf numFmtId="0" fontId="24" fillId="0" borderId="60" xfId="0" quotePrefix="1" applyFont="1" applyFill="1" applyBorder="1" applyAlignment="1">
      <alignment horizontal="left" vertical="center" wrapText="1"/>
    </xf>
    <xf numFmtId="0" fontId="24" fillId="0" borderId="61" xfId="0" quotePrefix="1" applyFont="1" applyFill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59" xfId="0" quotePrefix="1" applyFont="1" applyFill="1" applyBorder="1" applyAlignment="1">
      <alignment horizontal="left" vertical="center" wrapText="1"/>
    </xf>
    <xf numFmtId="0" fontId="7" fillId="0" borderId="60" xfId="0" quotePrefix="1" applyFont="1" applyFill="1" applyBorder="1" applyAlignment="1">
      <alignment horizontal="left" vertical="center" wrapText="1"/>
    </xf>
    <xf numFmtId="0" fontId="7" fillId="0" borderId="61" xfId="0" quotePrefix="1" applyFont="1" applyFill="1" applyBorder="1" applyAlignment="1">
      <alignment horizontal="left" vertical="center" wrapText="1"/>
    </xf>
    <xf numFmtId="0" fontId="16" fillId="19" borderId="0" xfId="2" applyFont="1" applyFill="1" applyAlignment="1">
      <alignment horizontal="left" vertical="center" wrapText="1"/>
    </xf>
    <xf numFmtId="0" fontId="14" fillId="7" borderId="59" xfId="0" applyFont="1" applyFill="1" applyBorder="1" applyAlignment="1">
      <alignment horizontal="center"/>
    </xf>
    <xf numFmtId="0" fontId="14" fillId="7" borderId="60" xfId="0" applyFont="1" applyFill="1" applyBorder="1" applyAlignment="1">
      <alignment horizontal="center"/>
    </xf>
    <xf numFmtId="0" fontId="14" fillId="7" borderId="61" xfId="0" applyFont="1" applyFill="1" applyBorder="1" applyAlignment="1">
      <alignment horizontal="center"/>
    </xf>
    <xf numFmtId="0" fontId="7" fillId="0" borderId="62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59" xfId="0" applyFont="1" applyBorder="1" applyAlignment="1">
      <alignment horizontal="left" wrapText="1"/>
    </xf>
    <xf numFmtId="0" fontId="7" fillId="0" borderId="60" xfId="0" applyFont="1" applyBorder="1" applyAlignment="1">
      <alignment horizontal="left" wrapText="1"/>
    </xf>
    <xf numFmtId="0" fontId="7" fillId="0" borderId="61" xfId="0" applyFont="1" applyBorder="1" applyAlignment="1">
      <alignment horizontal="left" wrapText="1"/>
    </xf>
    <xf numFmtId="0" fontId="16" fillId="3" borderId="0" xfId="2" applyFont="1" applyAlignment="1">
      <alignment horizontal="left" vertical="center" wrapText="1"/>
    </xf>
    <xf numFmtId="0" fontId="15" fillId="3" borderId="67" xfId="2" applyFont="1" applyBorder="1" applyAlignment="1">
      <alignment horizontal="center"/>
    </xf>
    <xf numFmtId="0" fontId="15" fillId="3" borderId="68" xfId="2" applyFont="1" applyBorder="1" applyAlignment="1">
      <alignment horizontal="center"/>
    </xf>
    <xf numFmtId="0" fontId="15" fillId="3" borderId="69" xfId="2" applyFont="1" applyBorder="1" applyAlignment="1">
      <alignment horizontal="center"/>
    </xf>
  </cellXfs>
  <cellStyles count="8">
    <cellStyle name="20 % - Akzent2" xfId="1" builtinId="34"/>
    <cellStyle name="20 % - Akzent3" xfId="3" builtinId="38"/>
    <cellStyle name="60 % - Akzent3" xfId="4" builtinId="40"/>
    <cellStyle name="Akzent3" xfId="2" builtinId="37"/>
    <cellStyle name="Akzent5" xfId="5" builtinId="45"/>
    <cellStyle name="Standard" xfId="0" builtinId="0"/>
    <cellStyle name="Standard 2" xfId="6" xr:uid="{00000000-0005-0000-0000-000006000000}"/>
    <cellStyle name="Standard 3" xfId="7" xr:uid="{00000000-0005-0000-0000-000007000000}"/>
  </cellStyles>
  <dxfs count="6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b val="0"/>
        <i val="0"/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 val="0"/>
        <i val="0"/>
        <color auto="1"/>
      </font>
      <fill>
        <patternFill>
          <bgColor theme="0" tint="-0.14996795556505021"/>
        </patternFill>
      </fill>
    </dxf>
    <dxf>
      <numFmt numFmtId="173" formatCode="&quot;Radiengeschwindigkeiten berechnet für ü = 150 mm und aq = &quot;0.00&quot; m/s²:&quot;"/>
    </dxf>
    <dxf>
      <numFmt numFmtId="177" formatCode="&quot;Vitesses de référence dans les catégories de rayons calculées pour ü = 150 mm et aq = &quot;0.00&quot; m/s²:&quot;"/>
    </dxf>
    <dxf>
      <numFmt numFmtId="178" formatCode="&quot;Velocità radiali calcolate per ü = 150 mm e aq = &quot;0.00&quot; m/s²:&quot;"/>
    </dxf>
    <dxf>
      <numFmt numFmtId="179" formatCode="&quot;Radius speeds calculated for ü = 150 mm and aq = &quot;0.00&quot; m/s²:&quot;"/>
    </dxf>
    <dxf>
      <numFmt numFmtId="180" formatCode="&quot;V&gt;160: dyn. Radkraft bei V= &quot;00&quot; km/h&quot;"/>
    </dxf>
    <dxf>
      <numFmt numFmtId="181" formatCode="&quot;V&gt;160: forces de roues dynamiques à V= &quot;00.00&quot; km/h&quot;"/>
    </dxf>
    <dxf>
      <numFmt numFmtId="182" formatCode="&quot;V&gt;160: forza din. alla ruota ad una velocità V= &quot;00.00&quot; km/h&quot;"/>
    </dxf>
    <dxf>
      <numFmt numFmtId="183" formatCode="&quot;V&gt;160: dynamic wheel force when V= &quot;00.00&quot; km/h&quot;"/>
    </dxf>
    <dxf>
      <numFmt numFmtId="184" formatCode="&quot;V140-160: dyn. Radkraft bei V= &quot;00&quot; km/h&quot;"/>
    </dxf>
    <dxf>
      <numFmt numFmtId="185" formatCode="&quot;V140-160: forces de roues dynamiques à V= &quot;00.00&quot; km/h&quot;"/>
    </dxf>
    <dxf>
      <numFmt numFmtId="186" formatCode="&quot;V140-160: forza din. alla ruota ad una velocità V= &quot;00.00&quot; km/h&quot;"/>
    </dxf>
    <dxf>
      <numFmt numFmtId="187" formatCode="&quot;V140-160: dynamic wheel force when V= &quot;00.00&quot; km/h&quot;"/>
    </dxf>
    <dxf>
      <numFmt numFmtId="188" formatCode="&quot;V120-140: dyn. Radkraft bei V= &quot;00&quot; km/h&quot;"/>
    </dxf>
    <dxf>
      <numFmt numFmtId="189" formatCode="&quot;V120-140: forces de roues dynamiques à V= &quot;00.00&quot; km/h&quot;"/>
    </dxf>
    <dxf>
      <numFmt numFmtId="190" formatCode="&quot;V120-140: forza din. alla ruota ad una velocità V= &quot;00.00&quot; km/h&quot;"/>
    </dxf>
    <dxf>
      <numFmt numFmtId="191" formatCode="&quot;V120-140: dynamic wheel force when V= &quot;00.00&quot; km/h&quot;"/>
    </dxf>
    <dxf>
      <numFmt numFmtId="192" formatCode="&quot;V100-120: dyn. Radkraft bei V= &quot;00&quot; km/h&quot;"/>
    </dxf>
    <dxf>
      <numFmt numFmtId="193" formatCode="&quot;V100-120: forces de roues dynamiques à V= &quot;00.00&quot; km/h&quot;"/>
    </dxf>
    <dxf>
      <numFmt numFmtId="194" formatCode="&quot;V100-120: forza din. alla ruota ad una velocità V= &quot;00.00&quot; km/h&quot;"/>
    </dxf>
    <dxf>
      <numFmt numFmtId="195" formatCode="&quot;V100-120: dynamic wheel force when V= &quot;00.00&quot; km/h&quot;"/>
    </dxf>
    <dxf>
      <numFmt numFmtId="196" formatCode="&quot;V80-100: dyn. Radkraft bei V= &quot;00&quot; km/h&quot;"/>
    </dxf>
    <dxf>
      <numFmt numFmtId="197" formatCode="&quot;V80-100: forces de roues dynamiques à V= &quot;00.00&quot; km/h&quot;"/>
    </dxf>
    <dxf>
      <numFmt numFmtId="198" formatCode="&quot;V80-100: forza din. alla ruota ad una velocità V= &quot;00.00&quot; km/h&quot;"/>
    </dxf>
    <dxf>
      <numFmt numFmtId="199" formatCode="&quot;V80-100: dynamic wheel force when V= &quot;00.00&quot; km/h&quot;"/>
    </dxf>
    <dxf>
      <numFmt numFmtId="200" formatCode="&quot;V0-80: dyn. Radkraft bei V= &quot;00.00&quot; km/h&quot;"/>
    </dxf>
    <dxf>
      <numFmt numFmtId="201" formatCode="&quot;V0-80: forces de roues dynamiques à V= &quot;00.00&quot; km/h&quot;"/>
    </dxf>
    <dxf>
      <numFmt numFmtId="202" formatCode="&quot;V0-80: forza din. alla ruota ad una velocità V= &quot;00.00&quot; km/h&quot;"/>
    </dxf>
    <dxf>
      <numFmt numFmtId="203" formatCode="&quot;V0-80: dynamic wheel force when V= &quot;00.00&quot; km/h&quot;"/>
    </dxf>
    <dxf>
      <numFmt numFmtId="204" formatCode="&quot;dynamische Radkraft in Weichen bei V= &quot;00.00&quot; km/h&quot;"/>
    </dxf>
    <dxf>
      <numFmt numFmtId="205" formatCode="&quot;Forces de roues dynamiques sur aiguilles à V= &quot;00.00&quot; km/h&quot;"/>
    </dxf>
    <dxf>
      <numFmt numFmtId="206" formatCode="&quot;Forza dinamica alla ruota sugli scambi ad una velocità V= &quot;00.00&quot; km/h&quot;"/>
    </dxf>
    <dxf>
      <numFmt numFmtId="207" formatCode="&quot;Dynamic wheel force in points when V= &quot;00.00&quot; km/h&quot;"/>
    </dxf>
    <dxf>
      <numFmt numFmtId="172" formatCode="&quot;dynamische Radkraft bei V= &quot;00.00&quot; km/h&quot;"/>
    </dxf>
    <dxf>
      <numFmt numFmtId="208" formatCode="&quot;Forces de roues dynamiques à V= &quot;00.00&quot; km/h&quot;"/>
    </dxf>
    <dxf>
      <numFmt numFmtId="209" formatCode="&quot;Forza dinamica alla ruota con V= &quot;00.00&quot; km/h&quot;"/>
    </dxf>
    <dxf>
      <numFmt numFmtId="210" formatCode="&quot;Dynamic wheel force when V= &quot;00.00&quot; km/h&quot;"/>
    </dxf>
    <dxf>
      <numFmt numFmtId="211" formatCode="&quot;Spezifische Reibarbeit im Bezugsradius von &quot;00&quot; m&quot;"/>
    </dxf>
    <dxf>
      <numFmt numFmtId="212" formatCode="&quot;Frottement dans un rayon de référence de &quot;00&quot; m&quot;"/>
    </dxf>
    <dxf>
      <numFmt numFmtId="213" formatCode="&quot;Lavoro di attrito relativo ad un raggio di &quot;00&quot; m&quot;"/>
    </dxf>
    <dxf>
      <numFmt numFmtId="214" formatCode="&quot;Specific frictional energy in reference radius of &quot;00&quot; m&quot;"/>
    </dxf>
  </dxfs>
  <tableStyles count="0" defaultTableStyle="TableStyleMedium2" defaultPivotStyle="PivotStyleLight16"/>
  <colors>
    <mruColors>
      <color rgb="FFFF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60</xdr:row>
      <xdr:rowOff>22860</xdr:rowOff>
    </xdr:from>
    <xdr:to>
      <xdr:col>6</xdr:col>
      <xdr:colOff>624509</xdr:colOff>
      <xdr:row>60</xdr:row>
      <xdr:rowOff>526860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168" r="30258"/>
        <a:stretch/>
      </xdr:blipFill>
      <xdr:spPr bwMode="auto">
        <a:xfrm>
          <a:off x="5562600" y="9654540"/>
          <a:ext cx="2041829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22860</xdr:colOff>
      <xdr:row>46</xdr:row>
      <xdr:rowOff>30480</xdr:rowOff>
    </xdr:from>
    <xdr:to>
      <xdr:col>6</xdr:col>
      <xdr:colOff>411062</xdr:colOff>
      <xdr:row>46</xdr:row>
      <xdr:rowOff>318480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237" r="28374"/>
        <a:stretch/>
      </xdr:blipFill>
      <xdr:spPr bwMode="auto">
        <a:xfrm>
          <a:off x="5532120" y="9654540"/>
          <a:ext cx="185886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39443</xdr:colOff>
      <xdr:row>0</xdr:row>
      <xdr:rowOff>134475</xdr:rowOff>
    </xdr:from>
    <xdr:to>
      <xdr:col>34</xdr:col>
      <xdr:colOff>775403</xdr:colOff>
      <xdr:row>0</xdr:row>
      <xdr:rowOff>582705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96363" y="134475"/>
          <a:ext cx="4302120" cy="448230"/>
        </a:xfrm>
        <a:prstGeom prst="rect">
          <a:avLst/>
        </a:prstGeom>
      </xdr:spPr>
    </xdr:pic>
    <xdr:clientData/>
  </xdr:twoCellAnchor>
  <xdr:twoCellAnchor>
    <xdr:from>
      <xdr:col>3</xdr:col>
      <xdr:colOff>21022</xdr:colOff>
      <xdr:row>60</xdr:row>
      <xdr:rowOff>529357</xdr:rowOff>
    </xdr:from>
    <xdr:to>
      <xdr:col>5</xdr:col>
      <xdr:colOff>137160</xdr:colOff>
      <xdr:row>60</xdr:row>
      <xdr:rowOff>810346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76" r="36021"/>
        <a:stretch/>
      </xdr:blipFill>
      <xdr:spPr bwMode="auto">
        <a:xfrm>
          <a:off x="5530282" y="9654540"/>
          <a:ext cx="1312478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47097</xdr:colOff>
      <xdr:row>0</xdr:row>
      <xdr:rowOff>114300</xdr:rowOff>
    </xdr:from>
    <xdr:to>
      <xdr:col>14</xdr:col>
      <xdr:colOff>1153171</xdr:colOff>
      <xdr:row>0</xdr:row>
      <xdr:rowOff>562530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0077" y="114300"/>
          <a:ext cx="4275994" cy="448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esign1">
  <a:themeElements>
    <a:clrScheme name="SBB">
      <a:dk1>
        <a:sysClr val="windowText" lastClr="000000"/>
      </a:dk1>
      <a:lt1>
        <a:sysClr val="window" lastClr="FFFFFF"/>
      </a:lt1>
      <a:dk2>
        <a:srgbClr val="B7B7B7"/>
      </a:dk2>
      <a:lt2>
        <a:srgbClr val="4C4C4C"/>
      </a:lt2>
      <a:accent1>
        <a:srgbClr val="ABADCB"/>
      </a:accent1>
      <a:accent2>
        <a:srgbClr val="6C6FA4"/>
      </a:accent2>
      <a:accent3>
        <a:srgbClr val="2D327D"/>
      </a:accent3>
      <a:accent4>
        <a:srgbClr val="FF9999"/>
      </a:accent4>
      <a:accent5>
        <a:srgbClr val="FF4C4C"/>
      </a:accent5>
      <a:accent6>
        <a:srgbClr val="FF0000"/>
      </a:accent6>
      <a:hlink>
        <a:srgbClr val="2D327D"/>
      </a:hlink>
      <a:folHlink>
        <a:srgbClr val="D5D6E5"/>
      </a:folHlink>
    </a:clrScheme>
    <a:fontScheme name="SB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3"/>
        </a:solidFill>
        <a:ln>
          <a:noFill/>
        </a:ln>
      </a:spPr>
      <a:bodyPr wrap="square" lIns="216000" tIns="108000" rIns="432000" bIns="144000" rtlCol="0" anchor="t" anchorCtr="0">
        <a:spAutoFit/>
      </a:bodyPr>
      <a:lstStyle>
        <a:defPPr>
          <a:defRPr sz="2400" b="1"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rgbClr val="B7B7B7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lIns="0" tIns="0" rIns="0" bIns="0" rtlCol="0">
        <a:spAutoFit/>
      </a:bodyPr>
      <a:lstStyle>
        <a:defPPr>
          <a:defRPr sz="2000" dirty="0" smtClean="0">
            <a:latin typeface="Arial" pitchFamily="34" charset="0"/>
            <a:cs typeface="Arial" pitchFamily="34" charset="0"/>
          </a:defRPr>
        </a:defPPr>
      </a:lstStyle>
    </a:txDef>
  </a:objectDefaults>
  <a:extraClrSchemeLst>
    <a:extraClrScheme>
      <a:clrScheme name="SBB">
        <a:dk1>
          <a:sysClr val="windowText" lastClr="000000"/>
        </a:dk1>
        <a:lt1>
          <a:sysClr val="window" lastClr="FFFFFF"/>
        </a:lt1>
        <a:dk2>
          <a:srgbClr val="B7B7B7"/>
        </a:dk2>
        <a:lt2>
          <a:srgbClr val="4C4C4C"/>
        </a:lt2>
        <a:accent1>
          <a:srgbClr val="ABADCB"/>
        </a:accent1>
        <a:accent2>
          <a:srgbClr val="6C6FA4"/>
        </a:accent2>
        <a:accent3>
          <a:srgbClr val="2D327D"/>
        </a:accent3>
        <a:accent4>
          <a:srgbClr val="FF9999"/>
        </a:accent4>
        <a:accent5>
          <a:srgbClr val="FF4C4C"/>
        </a:accent5>
        <a:accent6>
          <a:srgbClr val="FF0000"/>
        </a:accent6>
        <a:hlink>
          <a:srgbClr val="2D327D"/>
        </a:hlink>
        <a:folHlink>
          <a:srgbClr val="D5D6E5"/>
        </a:folHlink>
      </a:clrScheme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outlinePr summaryBelow="0"/>
  </sheetPr>
  <dimension ref="A1:AQ131"/>
  <sheetViews>
    <sheetView showGridLines="0" tabSelected="1" zoomScale="85" zoomScaleNormal="85" zoomScaleSheetLayoutView="40" workbookViewId="0">
      <selection activeCell="O1" sqref="O1"/>
    </sheetView>
  </sheetViews>
  <sheetFormatPr baseColWidth="10" defaultColWidth="11.5703125" defaultRowHeight="12.75" outlineLevelRow="2" outlineLevelCol="1" x14ac:dyDescent="0.2"/>
  <cols>
    <col min="1" max="1" width="60.28515625" style="57" customWidth="1"/>
    <col min="2" max="2" width="12.42578125" style="57" customWidth="1"/>
    <col min="3" max="3" width="7.7109375" style="57" customWidth="1"/>
    <col min="4" max="4" width="9.140625" style="57" customWidth="1"/>
    <col min="5" max="5" width="8.28515625" style="57" customWidth="1"/>
    <col min="6" max="6" width="4" style="57" customWidth="1"/>
    <col min="7" max="7" width="10.28515625" style="57" customWidth="1"/>
    <col min="8" max="8" width="9.7109375" style="57" customWidth="1"/>
    <col min="9" max="9" width="4" style="57" customWidth="1"/>
    <col min="10" max="14" width="12.85546875" style="57" customWidth="1"/>
    <col min="15" max="15" width="16" style="57" bestFit="1" customWidth="1"/>
    <col min="16" max="16" width="2.85546875" style="57" customWidth="1"/>
    <col min="17" max="21" width="12.85546875" style="57" hidden="1" customWidth="1" outlineLevel="1"/>
    <col min="22" max="22" width="16" style="57" hidden="1" customWidth="1" outlineLevel="1"/>
    <col min="23" max="23" width="2.85546875" style="57" hidden="1" customWidth="1" outlineLevel="1"/>
    <col min="24" max="28" width="12.85546875" style="57" hidden="1" customWidth="1" outlineLevel="1"/>
    <col min="29" max="29" width="16" style="57" hidden="1" customWidth="1" outlineLevel="1"/>
    <col min="30" max="30" width="2.85546875" style="57" hidden="1" customWidth="1" outlineLevel="1"/>
    <col min="31" max="31" width="17.28515625" style="57" customWidth="1" collapsed="1"/>
    <col min="32" max="32" width="11.5703125" style="57"/>
    <col min="33" max="34" width="11.5703125" style="57" customWidth="1"/>
    <col min="35" max="35" width="12.7109375" style="57" customWidth="1"/>
    <col min="36" max="36" width="3.7109375" style="57" customWidth="1"/>
    <col min="37" max="37" width="11.7109375" style="57" customWidth="1"/>
    <col min="38" max="38" width="5.7109375" style="57" customWidth="1"/>
    <col min="39" max="39" width="12.7109375" style="57" customWidth="1"/>
    <col min="40" max="41" width="11.5703125" style="57" customWidth="1"/>
    <col min="42" max="16384" width="11.5703125" style="57"/>
  </cols>
  <sheetData>
    <row r="1" spans="1:38" ht="55.9" customHeight="1" x14ac:dyDescent="0.2">
      <c r="A1" s="321" t="str">
        <f>IF($O$1="de","Basispreis Verschleiss
Berechnung der Schädigungskoeffizienten, der Kostenelemente und der Fahrzeugpreise",
IF($O$1="fr","Prix de base lié à l'usure 
Calcul des coefficients de dégradation, des éléments de coûts et des prix des véhicules",
IF($O$1="it","Prezzo di base in funzione dell'usura
Calcolo dei coefficienti di danneggiamento, degli elementi di costo e dei prezzi dei veicoli",
IF($O$1="en","Base price wear
Calculation of damage coefficients, cost elements and vehicle prices","select language in cell N1"))))</f>
        <v>Basispreis Verschleiss
Berechnung der Schädigungskoeffizienten, der Kostenelemente und der Fahrzeugpreise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31" t="s">
        <v>377</v>
      </c>
      <c r="N1" s="220" t="s">
        <v>210</v>
      </c>
      <c r="O1" s="230" t="s">
        <v>212</v>
      </c>
      <c r="P1" s="137"/>
      <c r="Q1" s="137"/>
      <c r="R1" s="137"/>
      <c r="S1" s="137"/>
      <c r="T1" s="137"/>
      <c r="U1" s="137"/>
      <c r="V1" s="13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129"/>
      <c r="AK1" s="129"/>
      <c r="AL1" s="129"/>
    </row>
    <row r="2" spans="1:38" x14ac:dyDescent="0.2">
      <c r="P2" s="4"/>
      <c r="W2" s="4"/>
      <c r="AD2" s="4"/>
    </row>
    <row r="3" spans="1:38" ht="28.15" customHeight="1" x14ac:dyDescent="0.25">
      <c r="A3" s="127"/>
      <c r="B3" s="128"/>
      <c r="C3" s="128"/>
      <c r="D3" s="322"/>
      <c r="E3" s="323"/>
      <c r="F3" s="323"/>
      <c r="G3" s="323"/>
      <c r="H3" s="323"/>
      <c r="I3" s="324"/>
      <c r="J3" s="94"/>
      <c r="K3" s="94"/>
      <c r="L3" s="94"/>
      <c r="M3" s="94"/>
      <c r="N3" s="94"/>
      <c r="O3" s="221" t="str">
        <f>IF($O$1="de","Fahrzeug",
IF($O$1="fr","Véhicule ",
IF($O$1="it","Veicolo",
IF($O$1="en","Vehicle","select language in cell N1"))))</f>
        <v>Fahrzeug</v>
      </c>
      <c r="P3" s="4"/>
      <c r="Q3" s="162">
        <f>J3</f>
        <v>0</v>
      </c>
      <c r="R3" s="162">
        <f>K3</f>
        <v>0</v>
      </c>
      <c r="S3" s="162">
        <f>L3</f>
        <v>0</v>
      </c>
      <c r="T3" s="162">
        <f>M3</f>
        <v>0</v>
      </c>
      <c r="U3" s="162">
        <f>N3</f>
        <v>0</v>
      </c>
      <c r="V3" s="70"/>
      <c r="W3" s="4"/>
      <c r="X3" s="162">
        <f>Q3</f>
        <v>0</v>
      </c>
      <c r="Y3" s="162">
        <f>R3</f>
        <v>0</v>
      </c>
      <c r="Z3" s="162">
        <f>S3</f>
        <v>0</v>
      </c>
      <c r="AA3" s="162">
        <f>T3</f>
        <v>0</v>
      </c>
      <c r="AB3" s="162">
        <f>U3</f>
        <v>0</v>
      </c>
      <c r="AC3" s="70"/>
      <c r="AD3" s="4"/>
    </row>
    <row r="4" spans="1:38" ht="18" x14ac:dyDescent="0.25">
      <c r="A4" s="105" t="str">
        <f>IF($O$1="de","Beschreibung",
IF($O$1="fr","Description",
IF($O$1="it","Descrizione",
IF($O$1="en","Description","select language in cell N1"))))</f>
        <v>Beschreibung</v>
      </c>
      <c r="B4" s="209" t="str">
        <f>IF($O$1="de","Formelzeichen",
IF($O$1="fr","Signe de formule",
IF($O$1="it","Simbolo",
IF($O$1="en","Formula symbol","select language in cell N1"))))</f>
        <v>Formelzeichen</v>
      </c>
      <c r="C4" s="105" t="str">
        <f>IF($O$1="de","Einheit",
IF($O$1="fr","Unité",
IF($O$1="it","Unità",
IF($O$1="en","Unit","select language in cell N1"))))</f>
        <v>Einheit</v>
      </c>
      <c r="D4" s="325" t="str">
        <f>IF($O$1="de","Bemerkung bzw. Berechnungsformel",
IF($O$1="fr","Remarque ou formule de calcul",
IF($O$1="it","Osservazione o formula di calcolo",
IF($O$1="en","Comment/calculation formula","select language in cell N1"))))</f>
        <v>Bemerkung bzw. Berechnungsformel</v>
      </c>
      <c r="E4" s="326"/>
      <c r="F4" s="326"/>
      <c r="G4" s="326"/>
      <c r="H4" s="326"/>
      <c r="I4" s="327"/>
      <c r="J4" s="328" t="str">
        <f>IF($O$1="de","Eingabe bzw. Berechnung",
IF($O$1="fr","Saisie ou calcul",
IF($O$1="it","Inserimento e calcolo",
IF($O$1="en","Input/calculation","select language in cell N1"))))</f>
        <v>Eingabe bzw. Berechnung</v>
      </c>
      <c r="K4" s="328"/>
      <c r="L4" s="328"/>
      <c r="M4" s="328"/>
      <c r="N4" s="328"/>
      <c r="O4" s="329"/>
      <c r="P4" s="4"/>
      <c r="Q4" s="78"/>
      <c r="R4" s="78"/>
      <c r="S4" s="78"/>
      <c r="T4" s="78"/>
      <c r="U4" s="78"/>
      <c r="V4" s="70"/>
      <c r="W4" s="4"/>
      <c r="X4" s="78"/>
      <c r="Y4" s="78"/>
      <c r="Z4" s="78"/>
      <c r="AA4" s="78"/>
      <c r="AB4" s="78"/>
      <c r="AC4" s="70"/>
      <c r="AD4" s="4"/>
      <c r="AE4" s="3"/>
    </row>
    <row r="5" spans="1:38" s="63" customFormat="1" ht="21" customHeight="1" x14ac:dyDescent="0.25">
      <c r="A5" s="109" t="str">
        <f>IF($O$1="de","Fahrzeugdaten (Eingabegrössen)",
IF($O$1="fr","Données du véhicule (grandeurs de saisie)",
IF($O$1="it","Dati del veicolo (grandezze di input)",
IF($O$1="en","Vehicle data (input variables)","select language in cell N1"))))</f>
        <v>Fahrzeugdaten (Eingabegrössen)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22"/>
      <c r="P5" s="62"/>
      <c r="Q5" s="70"/>
      <c r="R5" s="70"/>
      <c r="S5" s="70"/>
      <c r="T5" s="70"/>
      <c r="U5" s="70"/>
      <c r="V5" s="70"/>
      <c r="W5" s="62"/>
      <c r="X5" s="70"/>
      <c r="Y5" s="70"/>
      <c r="Z5" s="70"/>
      <c r="AA5" s="70"/>
      <c r="AB5" s="70"/>
      <c r="AC5" s="70"/>
      <c r="AD5" s="62"/>
      <c r="AE5" s="118"/>
    </row>
    <row r="6" spans="1:38" ht="15" x14ac:dyDescent="0.2">
      <c r="A6" s="106" t="str">
        <f>IF($O$1="de","Basisdaten",
IF($O$1="fr","Données de base",
IF($O$1="it","Dati di base",
IF($O$1="en","Basic data","select language in cell N1"))))</f>
        <v>Basisdaten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223"/>
      <c r="P6" s="4"/>
      <c r="Q6" s="71"/>
      <c r="R6" s="71"/>
      <c r="S6" s="71"/>
      <c r="T6" s="71"/>
      <c r="U6" s="71"/>
      <c r="V6" s="71"/>
      <c r="W6" s="4"/>
      <c r="X6" s="71"/>
      <c r="Y6" s="71"/>
      <c r="Z6" s="71"/>
      <c r="AA6" s="71"/>
      <c r="AB6" s="71"/>
      <c r="AC6" s="71"/>
      <c r="AD6" s="4"/>
    </row>
    <row r="7" spans="1:38" ht="24.6" customHeight="1" x14ac:dyDescent="0.2">
      <c r="A7" s="210" t="str">
        <f>IF($O$1="de","Fahrzeuggattung",
IF($O$1="fr","Catégorie de véhicule",
IF($O$1="it","Categoria di veicolo",
IF($O$1="en","Vehicle category","select language in cell N1"))))</f>
        <v>Fahrzeuggattung</v>
      </c>
      <c r="B7" s="97"/>
      <c r="C7" s="97"/>
      <c r="D7" s="330" t="str">
        <f>IF($O$1="de","Lokomotive (Lok), Triebwagen (TWg), Personenwagen (PWg), Güterwagen (GWg), Triebzug (TZ), Sonderfahrzeug (S)",
IF($O$1="fr","Locomotive (Lok), automotrice (TWg), voiture voyageurs (PWg), wagon (GWg), train automoteur (TZ), véhicule de secours spécial (S)",
IF($O$1="it","Locomotiva (Lok), motrice (TWg), carrozza (PWg), carro merci (GWg), automotrice (TZ), veicolo speciale (S)",
IF($O$1="en","Locomotive (Lok), power car (TWg), passenger car (PWg), freight wagon (GWg), multiple unit (TZ), special vehicle (S)","select language in cell N1"))))</f>
        <v>Lokomotive (Lok), Triebwagen (TWg), Personenwagen (PWg), Güterwagen (GWg), Triebzug (TZ), Sonderfahrzeug (S)</v>
      </c>
      <c r="E7" s="331"/>
      <c r="F7" s="331"/>
      <c r="G7" s="331"/>
      <c r="H7" s="331"/>
      <c r="I7" s="332"/>
      <c r="J7" s="98"/>
      <c r="K7" s="98"/>
      <c r="L7" s="98"/>
      <c r="M7" s="98"/>
      <c r="N7" s="98"/>
      <c r="O7" s="224"/>
      <c r="P7" s="4"/>
      <c r="Q7" s="65"/>
      <c r="R7" s="65"/>
      <c r="S7" s="65"/>
      <c r="T7" s="65"/>
      <c r="U7" s="65"/>
      <c r="V7" s="65"/>
      <c r="W7" s="4"/>
      <c r="X7" s="65"/>
      <c r="Y7" s="65"/>
      <c r="Z7" s="65"/>
      <c r="AA7" s="65"/>
      <c r="AB7" s="65"/>
      <c r="AC7" s="65"/>
      <c r="AD7" s="4"/>
    </row>
    <row r="8" spans="1:38" ht="15.75" x14ac:dyDescent="0.3">
      <c r="A8" s="97" t="str">
        <f>IF($O$1="de","Zulässige Höchstgeschwindigkeit",
IF($O$1="fr","Vitesse maximale autorisée",
IF($O$1="it","Velocità massima ammessa",
IF($O$1="en","Maximum permissible speed","select language in cell N1"))))</f>
        <v>Zulässige Höchstgeschwindigkeit</v>
      </c>
      <c r="B8" s="97" t="s">
        <v>53</v>
      </c>
      <c r="C8" s="97" t="s">
        <v>54</v>
      </c>
      <c r="D8" s="309"/>
      <c r="E8" s="310"/>
      <c r="F8" s="310"/>
      <c r="G8" s="310"/>
      <c r="H8" s="310"/>
      <c r="I8" s="311"/>
      <c r="J8" s="149">
        <f t="shared" ref="J8:N10" si="0">$O8</f>
        <v>0</v>
      </c>
      <c r="K8" s="149">
        <f t="shared" si="0"/>
        <v>0</v>
      </c>
      <c r="L8" s="149">
        <f t="shared" si="0"/>
        <v>0</v>
      </c>
      <c r="M8" s="149">
        <f t="shared" si="0"/>
        <v>0</v>
      </c>
      <c r="N8" s="149">
        <f t="shared" si="0"/>
        <v>0</v>
      </c>
      <c r="O8" s="225"/>
      <c r="P8" s="4"/>
      <c r="Q8" s="65"/>
      <c r="R8" s="65"/>
      <c r="S8" s="65"/>
      <c r="T8" s="65"/>
      <c r="U8" s="65"/>
      <c r="V8" s="65"/>
      <c r="W8" s="4"/>
      <c r="X8" s="65"/>
      <c r="Y8" s="65"/>
      <c r="Z8" s="65"/>
      <c r="AA8" s="65"/>
      <c r="AB8" s="65"/>
      <c r="AC8" s="65"/>
      <c r="AD8" s="4"/>
    </row>
    <row r="9" spans="1:38" ht="15.6" customHeight="1" x14ac:dyDescent="0.2">
      <c r="A9" s="97" t="str">
        <f>IF($O$1="de","Zugreihe",
IF($O$1="fr","Catégorie de train",
IF($O$1="it","Categoria di treno",
IF($O$1="en","Train category","select language in cell N1"))))</f>
        <v>Zugreihe</v>
      </c>
      <c r="B9" s="97"/>
      <c r="C9" s="97"/>
      <c r="D9" s="309"/>
      <c r="E9" s="310"/>
      <c r="F9" s="310"/>
      <c r="G9" s="310"/>
      <c r="H9" s="310"/>
      <c r="I9" s="311"/>
      <c r="J9" s="150" t="str">
        <f t="shared" si="0"/>
        <v>R</v>
      </c>
      <c r="K9" s="150" t="str">
        <f t="shared" si="0"/>
        <v>R</v>
      </c>
      <c r="L9" s="150" t="str">
        <f t="shared" si="0"/>
        <v>R</v>
      </c>
      <c r="M9" s="150" t="str">
        <f t="shared" si="0"/>
        <v>R</v>
      </c>
      <c r="N9" s="150" t="str">
        <f t="shared" si="0"/>
        <v>R</v>
      </c>
      <c r="O9" s="224" t="s">
        <v>94</v>
      </c>
      <c r="P9" s="4"/>
      <c r="Q9" s="64"/>
      <c r="R9" s="64"/>
      <c r="S9" s="64"/>
      <c r="T9" s="64"/>
      <c r="U9" s="64"/>
      <c r="V9" s="64"/>
      <c r="W9" s="4"/>
      <c r="X9" s="64"/>
      <c r="Y9" s="64"/>
      <c r="Z9" s="64"/>
      <c r="AA9" s="64"/>
      <c r="AB9" s="64"/>
      <c r="AC9" s="64"/>
      <c r="AD9" s="4"/>
    </row>
    <row r="10" spans="1:38" ht="15.75" x14ac:dyDescent="0.3">
      <c r="A10" s="97" t="str">
        <f>IF($O$1="de","Zulässige Geschwindigkeit in 40-km/h-Weichen",
IF($O$1="fr","Vitesse autorisée sur les branchements à 40 km/h",
IF($O$1="it","Velocità ammissibile su scambi da 40 km/h",
IF($O$1="en","Permissible speed on 40 km/h points","select language in cell N1"))))</f>
        <v>Zulässige Geschwindigkeit in 40-km/h-Weichen</v>
      </c>
      <c r="B10" s="97" t="s">
        <v>145</v>
      </c>
      <c r="C10" s="97" t="s">
        <v>54</v>
      </c>
      <c r="D10" s="309" t="str">
        <f>IF($O$1="de","40 km/h, falls keine Beschränkung vorliegt",
IF($O$1="fr","40 km/h, s'il n'y a pas de limitation",
IF($O$1="it","40 km/h, in assenza di limitazioni",
IF($O$1="en","40 km/h, if there are no restrictions","select language in cell N1"))))</f>
        <v>40 km/h, falls keine Beschränkung vorliegt</v>
      </c>
      <c r="E10" s="310"/>
      <c r="F10" s="310"/>
      <c r="G10" s="310"/>
      <c r="H10" s="310"/>
      <c r="I10" s="311"/>
      <c r="J10" s="149">
        <f t="shared" si="0"/>
        <v>40</v>
      </c>
      <c r="K10" s="149">
        <f t="shared" si="0"/>
        <v>40</v>
      </c>
      <c r="L10" s="149">
        <f t="shared" si="0"/>
        <v>40</v>
      </c>
      <c r="M10" s="149">
        <f t="shared" si="0"/>
        <v>40</v>
      </c>
      <c r="N10" s="149">
        <f t="shared" si="0"/>
        <v>40</v>
      </c>
      <c r="O10" s="225">
        <v>40</v>
      </c>
      <c r="P10" s="4"/>
      <c r="Q10" s="65"/>
      <c r="R10" s="65"/>
      <c r="S10" s="65"/>
      <c r="T10" s="65"/>
      <c r="U10" s="65"/>
      <c r="V10" s="65"/>
      <c r="W10" s="4"/>
      <c r="X10" s="65"/>
      <c r="Y10" s="65"/>
      <c r="Z10" s="65"/>
      <c r="AA10" s="65"/>
      <c r="AB10" s="65"/>
      <c r="AC10" s="65"/>
      <c r="AD10" s="4"/>
    </row>
    <row r="11" spans="1:38" ht="15" x14ac:dyDescent="0.2">
      <c r="A11" s="95" t="str">
        <f>IF($O$1="de","Fahrwerkdaten",
IF($O$1="fr","Données des châssis",
IF($O$1="it","Dati organo di rotolamento",
IF($O$1="en","Running gear data","select language in cell N1"))))</f>
        <v>Fahrwerkdaten</v>
      </c>
      <c r="B11" s="95"/>
      <c r="C11" s="95"/>
      <c r="D11" s="95"/>
      <c r="E11" s="95"/>
      <c r="F11" s="95"/>
      <c r="G11" s="95"/>
      <c r="H11" s="95"/>
      <c r="I11" s="95"/>
      <c r="J11" s="95" t="str">
        <f>IF($O$1="de","nominell",
IF($O$1="fr","nominal",
IF($O$1="it","nominale",
IF($O$1="en","nominal","select language in cell N1"))))</f>
        <v>nominell</v>
      </c>
      <c r="K11" s="95"/>
      <c r="L11" s="95"/>
      <c r="M11" s="95"/>
      <c r="N11" s="95"/>
      <c r="O11" s="226" t="str">
        <f>IF($O$1="de","gesamt",
IF($O$1="fr","total",
IF($O$1="it","totale",
IF($O$1="en","total","select language in cell N1"))))</f>
        <v>gesamt</v>
      </c>
      <c r="P11" s="4"/>
      <c r="Q11" s="156" t="str">
        <f>IF($O$1="de","nominell * Faktor fu",
IF($O$1="fr","nominal * facteur fu",
IF($O$1="it","nominale * fattore fu",
IF($O$1="en","nominal * factor fu","select language in cell N1"))))</f>
        <v>nominell * Faktor fu</v>
      </c>
      <c r="R11" s="156"/>
      <c r="S11" s="156"/>
      <c r="T11" s="156"/>
      <c r="U11" s="156"/>
      <c r="V11" s="66"/>
      <c r="W11" s="4"/>
      <c r="X11" s="156" t="str">
        <f>IF($O$1="de","nominell * Faktor fo",
IF($O$1="fr","nominal * facteur fo",
IF($O$1="it","nominale * fattore fo",
IF($O$1="en","nominal * factor fo","select language in cell N1"))))</f>
        <v>nominell * Faktor fo</v>
      </c>
      <c r="Y11" s="156"/>
      <c r="Z11" s="156"/>
      <c r="AA11" s="156"/>
      <c r="AB11" s="156"/>
      <c r="AC11" s="66"/>
      <c r="AD11" s="4"/>
    </row>
    <row r="12" spans="1:38" ht="15.75" x14ac:dyDescent="0.3">
      <c r="A12" s="97" t="str">
        <f>IF($O$1="de","Anzahl gleichartiger Radsätze pro Fahrwerktyp",
IF($O$1="fr","Nombre d'essieux de même type par type de châssis",
IF($O$1="it","Numero di sale montate affini per tipo di organi di rotolamento",
IF($O$1="en","Number of similar wheelsets per running gear type","select language in cell N1"))))</f>
        <v>Anzahl gleichartiger Radsätze pro Fahrwerktyp</v>
      </c>
      <c r="B12" s="97" t="s">
        <v>118</v>
      </c>
      <c r="C12" s="97"/>
      <c r="D12" s="309"/>
      <c r="E12" s="310"/>
      <c r="F12" s="310"/>
      <c r="G12" s="310"/>
      <c r="H12" s="310"/>
      <c r="I12" s="311"/>
      <c r="J12" s="99"/>
      <c r="K12" s="99"/>
      <c r="L12" s="99"/>
      <c r="M12" s="99"/>
      <c r="N12" s="99"/>
      <c r="O12" s="227"/>
      <c r="P12" s="4"/>
      <c r="Q12" s="161">
        <f t="shared" ref="Q12:U15" si="1">J12</f>
        <v>0</v>
      </c>
      <c r="R12" s="161">
        <f t="shared" si="1"/>
        <v>0</v>
      </c>
      <c r="S12" s="161">
        <f t="shared" si="1"/>
        <v>0</v>
      </c>
      <c r="T12" s="161">
        <f t="shared" si="1"/>
        <v>0</v>
      </c>
      <c r="U12" s="161">
        <f t="shared" si="1"/>
        <v>0</v>
      </c>
      <c r="V12" s="66"/>
      <c r="W12" s="4"/>
      <c r="X12" s="161">
        <f t="shared" ref="X12:AB15" si="2">J12</f>
        <v>0</v>
      </c>
      <c r="Y12" s="161">
        <f t="shared" si="2"/>
        <v>0</v>
      </c>
      <c r="Z12" s="161">
        <f t="shared" si="2"/>
        <v>0</v>
      </c>
      <c r="AA12" s="161">
        <f t="shared" si="2"/>
        <v>0</v>
      </c>
      <c r="AB12" s="161">
        <f t="shared" si="2"/>
        <v>0</v>
      </c>
      <c r="AC12" s="66"/>
      <c r="AD12" s="4"/>
    </row>
    <row r="13" spans="1:38" ht="15.75" x14ac:dyDescent="0.3">
      <c r="A13" s="97" t="str">
        <f>IF($O$1="de","Anzahl Fahrwerke je Fahrwerktyp pro Fahrzeug",
IF($O$1="fr","Nombre de châssis par type par véhicule",
IF($O$1="it","Numero di organi di rotolamento per tipo per veicolo",
IF($O$1="en","Number of running gears for each running gear type per vehicle","select language in cell N1"))))</f>
        <v>Anzahl Fahrwerke je Fahrwerktyp pro Fahrzeug</v>
      </c>
      <c r="B13" s="97" t="s">
        <v>101</v>
      </c>
      <c r="C13" s="97"/>
      <c r="D13" s="309"/>
      <c r="E13" s="310"/>
      <c r="F13" s="310"/>
      <c r="G13" s="310"/>
      <c r="H13" s="310"/>
      <c r="I13" s="311"/>
      <c r="J13" s="99"/>
      <c r="K13" s="99"/>
      <c r="L13" s="99"/>
      <c r="M13" s="99"/>
      <c r="N13" s="99"/>
      <c r="O13" s="227">
        <f>SUM(J13:N13)</f>
        <v>0</v>
      </c>
      <c r="P13" s="4"/>
      <c r="Q13" s="161">
        <f t="shared" si="1"/>
        <v>0</v>
      </c>
      <c r="R13" s="161">
        <f t="shared" si="1"/>
        <v>0</v>
      </c>
      <c r="S13" s="161">
        <f t="shared" si="1"/>
        <v>0</v>
      </c>
      <c r="T13" s="161">
        <f t="shared" si="1"/>
        <v>0</v>
      </c>
      <c r="U13" s="161">
        <f t="shared" si="1"/>
        <v>0</v>
      </c>
      <c r="V13" s="66"/>
      <c r="W13" s="4"/>
      <c r="X13" s="161">
        <f t="shared" si="2"/>
        <v>0</v>
      </c>
      <c r="Y13" s="161">
        <f t="shared" si="2"/>
        <v>0</v>
      </c>
      <c r="Z13" s="161">
        <f t="shared" si="2"/>
        <v>0</v>
      </c>
      <c r="AA13" s="161">
        <f t="shared" si="2"/>
        <v>0</v>
      </c>
      <c r="AB13" s="161">
        <f t="shared" si="2"/>
        <v>0</v>
      </c>
      <c r="AC13" s="66"/>
      <c r="AD13" s="4"/>
    </row>
    <row r="14" spans="1:38" ht="15.75" x14ac:dyDescent="0.3">
      <c r="A14" s="97" t="str">
        <f>IF($O$1="de","Anzahl gleichartiger Triebradsätze pro Fahrzeug",
IF($O$1="fr","Nombre d'essieux moteurs de même type par véhicule",
IF($O$1="it","Numero di ruote motrici affini per veicolo",
IF($O$1="en","Number of similar driven wheelsets per vehicle","select language in cell N1"))))</f>
        <v>Anzahl gleichartiger Triebradsätze pro Fahrzeug</v>
      </c>
      <c r="B14" s="97" t="s">
        <v>119</v>
      </c>
      <c r="C14" s="97"/>
      <c r="D14" s="309"/>
      <c r="E14" s="310"/>
      <c r="F14" s="310"/>
      <c r="G14" s="310"/>
      <c r="H14" s="310"/>
      <c r="I14" s="311"/>
      <c r="J14" s="98">
        <f>IF(J19&lt;&gt;0,J13*J12,0)</f>
        <v>0</v>
      </c>
      <c r="K14" s="98">
        <f>IF(K19&lt;&gt;0,K13*K12,0)</f>
        <v>0</v>
      </c>
      <c r="L14" s="98">
        <f>IF(L19&lt;&gt;0,L13*L12,0)</f>
        <v>0</v>
      </c>
      <c r="M14" s="98">
        <f t="shared" ref="M14:N14" si="3">IF(M19&lt;&gt;0,M13*M12,0)</f>
        <v>0</v>
      </c>
      <c r="N14" s="98">
        <f t="shared" si="3"/>
        <v>0</v>
      </c>
      <c r="O14" s="227">
        <f>SUM(J14:N14)</f>
        <v>0</v>
      </c>
      <c r="P14" s="4"/>
      <c r="Q14" s="161">
        <f t="shared" si="1"/>
        <v>0</v>
      </c>
      <c r="R14" s="161">
        <f t="shared" si="1"/>
        <v>0</v>
      </c>
      <c r="S14" s="161">
        <f t="shared" si="1"/>
        <v>0</v>
      </c>
      <c r="T14" s="161">
        <f t="shared" si="1"/>
        <v>0</v>
      </c>
      <c r="U14" s="161">
        <f t="shared" si="1"/>
        <v>0</v>
      </c>
      <c r="V14" s="66"/>
      <c r="W14" s="4"/>
      <c r="X14" s="161">
        <f t="shared" si="2"/>
        <v>0</v>
      </c>
      <c r="Y14" s="161">
        <f t="shared" si="2"/>
        <v>0</v>
      </c>
      <c r="Z14" s="161">
        <f t="shared" si="2"/>
        <v>0</v>
      </c>
      <c r="AA14" s="161">
        <f t="shared" si="2"/>
        <v>0</v>
      </c>
      <c r="AB14" s="161">
        <f t="shared" si="2"/>
        <v>0</v>
      </c>
      <c r="AC14" s="66"/>
      <c r="AD14" s="4"/>
    </row>
    <row r="15" spans="1:38" ht="15.75" x14ac:dyDescent="0.3">
      <c r="A15" s="104" t="str">
        <f>IF($O$1="de","Anzahl gleichartiger Radsätze pro Fahrzeug",
IF($O$1="fr","Nombre d'essieux de même type par véhicule",
IF($O$1="it","Numero di sale montate affini per veicolo",
IF($O$1="en","Number of similar wheelsets per vehicle","select language in cell N1"))))</f>
        <v>Anzahl gleichartiger Radsätze pro Fahrzeug</v>
      </c>
      <c r="B15" s="97" t="s">
        <v>100</v>
      </c>
      <c r="C15" s="97"/>
      <c r="D15" s="309"/>
      <c r="E15" s="310"/>
      <c r="F15" s="310"/>
      <c r="G15" s="310"/>
      <c r="H15" s="310"/>
      <c r="I15" s="311"/>
      <c r="J15" s="98">
        <f>J13*J12</f>
        <v>0</v>
      </c>
      <c r="K15" s="98">
        <f t="shared" ref="K15" si="4">K13*K12</f>
        <v>0</v>
      </c>
      <c r="L15" s="98">
        <f t="shared" ref="L15:N15" si="5">L13*L12</f>
        <v>0</v>
      </c>
      <c r="M15" s="98">
        <f t="shared" si="5"/>
        <v>0</v>
      </c>
      <c r="N15" s="98">
        <f t="shared" si="5"/>
        <v>0</v>
      </c>
      <c r="O15" s="227">
        <f>SUM(J15:N15)</f>
        <v>0</v>
      </c>
      <c r="P15" s="4"/>
      <c r="Q15" s="161">
        <f t="shared" si="1"/>
        <v>0</v>
      </c>
      <c r="R15" s="161">
        <f t="shared" si="1"/>
        <v>0</v>
      </c>
      <c r="S15" s="161">
        <f t="shared" si="1"/>
        <v>0</v>
      </c>
      <c r="T15" s="161">
        <f t="shared" si="1"/>
        <v>0</v>
      </c>
      <c r="U15" s="161">
        <f t="shared" si="1"/>
        <v>0</v>
      </c>
      <c r="V15" s="66"/>
      <c r="W15" s="4"/>
      <c r="X15" s="161">
        <f t="shared" si="2"/>
        <v>0</v>
      </c>
      <c r="Y15" s="161">
        <f t="shared" si="2"/>
        <v>0</v>
      </c>
      <c r="Z15" s="161">
        <f t="shared" si="2"/>
        <v>0</v>
      </c>
      <c r="AA15" s="161">
        <f t="shared" si="2"/>
        <v>0</v>
      </c>
      <c r="AB15" s="161">
        <f t="shared" si="2"/>
        <v>0</v>
      </c>
      <c r="AC15" s="66"/>
      <c r="AD15" s="4"/>
    </row>
    <row r="16" spans="1:38" ht="15.75" x14ac:dyDescent="0.3">
      <c r="A16" s="97" t="str">
        <f>IF($O$1="de","Statische Radaufstandskraft",
IF($O$1="fr","Force statique d'appui des roues",
IF($O$1="it","Forza statica di contatto della ruota",
IF($O$1="en","Static vertical wheel force","select language in cell N1"))))</f>
        <v>Statische Radaufstandskraft</v>
      </c>
      <c r="B16" s="97" t="s">
        <v>33</v>
      </c>
      <c r="C16" s="97" t="s">
        <v>26</v>
      </c>
      <c r="D16" s="309"/>
      <c r="E16" s="310"/>
      <c r="F16" s="310"/>
      <c r="G16" s="310"/>
      <c r="H16" s="310"/>
      <c r="I16" s="311"/>
      <c r="J16" s="120"/>
      <c r="K16" s="120"/>
      <c r="L16" s="120"/>
      <c r="M16" s="120"/>
      <c r="N16" s="120"/>
      <c r="O16" s="233">
        <f>2*SUMPRODUCT(J16:N16,$J$15:$N$15)/9.81</f>
        <v>0</v>
      </c>
      <c r="P16" s="4"/>
      <c r="Q16" s="157">
        <f t="shared" ref="Q16:U17" si="6">J16*Q33</f>
        <v>0</v>
      </c>
      <c r="R16" s="157">
        <f t="shared" si="6"/>
        <v>0</v>
      </c>
      <c r="S16" s="157">
        <f t="shared" si="6"/>
        <v>0</v>
      </c>
      <c r="T16" s="157">
        <f t="shared" si="6"/>
        <v>0</v>
      </c>
      <c r="U16" s="157">
        <f t="shared" si="6"/>
        <v>0</v>
      </c>
      <c r="V16" s="66"/>
      <c r="W16" s="4"/>
      <c r="X16" s="157">
        <f t="shared" ref="X16:AB17" si="7">J16*X33</f>
        <v>0</v>
      </c>
      <c r="Y16" s="157">
        <f t="shared" si="7"/>
        <v>0</v>
      </c>
      <c r="Z16" s="157">
        <f t="shared" si="7"/>
        <v>0</v>
      </c>
      <c r="AA16" s="157">
        <f t="shared" si="7"/>
        <v>0</v>
      </c>
      <c r="AB16" s="157">
        <f t="shared" si="7"/>
        <v>0</v>
      </c>
      <c r="AC16" s="66"/>
      <c r="AD16" s="4"/>
    </row>
    <row r="17" spans="1:30" ht="15.75" x14ac:dyDescent="0.3">
      <c r="A17" s="97" t="str">
        <f>IF($O$1="de","Unabgefederte Masse pro Rad",
IF($O$1="fr","Masse non suspendue par roue",
IF($O$1="it","Massa non sospesa per ruota",
IF($O$1="en","Unsprung mass per wheel","select language in cell N1"))))</f>
        <v>Unabgefederte Masse pro Rad</v>
      </c>
      <c r="B17" s="97" t="s">
        <v>41</v>
      </c>
      <c r="C17" s="97" t="s">
        <v>40</v>
      </c>
      <c r="D17" s="309"/>
      <c r="E17" s="310"/>
      <c r="F17" s="310"/>
      <c r="G17" s="310"/>
      <c r="H17" s="310"/>
      <c r="I17" s="311"/>
      <c r="J17" s="120"/>
      <c r="K17" s="120"/>
      <c r="L17" s="120"/>
      <c r="M17" s="120"/>
      <c r="N17" s="120"/>
      <c r="O17" s="227"/>
      <c r="P17" s="4"/>
      <c r="Q17" s="157">
        <f t="shared" si="6"/>
        <v>0</v>
      </c>
      <c r="R17" s="157">
        <f t="shared" si="6"/>
        <v>0</v>
      </c>
      <c r="S17" s="157">
        <f t="shared" si="6"/>
        <v>0</v>
      </c>
      <c r="T17" s="157">
        <f t="shared" si="6"/>
        <v>0</v>
      </c>
      <c r="U17" s="157">
        <f t="shared" si="6"/>
        <v>0</v>
      </c>
      <c r="V17" s="66"/>
      <c r="W17" s="4"/>
      <c r="X17" s="157">
        <f t="shared" si="7"/>
        <v>0</v>
      </c>
      <c r="Y17" s="157">
        <f t="shared" si="7"/>
        <v>0</v>
      </c>
      <c r="Z17" s="157">
        <f t="shared" si="7"/>
        <v>0</v>
      </c>
      <c r="AA17" s="157">
        <f t="shared" si="7"/>
        <v>0</v>
      </c>
      <c r="AB17" s="157">
        <f t="shared" si="7"/>
        <v>0</v>
      </c>
      <c r="AC17" s="66"/>
      <c r="AD17" s="4"/>
    </row>
    <row r="18" spans="1:30" ht="15.75" x14ac:dyDescent="0.3">
      <c r="A18" s="97" t="str">
        <f>IF($O$1="de","Radradius (Nominalwert für neue Räder)",
IF($O$1="fr","Rayon de la roue (valeur nominale pour les roues neuves)",
IF($O$1="it","Raggio della ruota (valore nominale per ruote nuove)",
IF($O$1="en","Wheel radius (nominal value for new wheels)","select language in cell N1"))))</f>
        <v>Radradius (Nominalwert für neue Räder)</v>
      </c>
      <c r="B18" s="97" t="s">
        <v>39</v>
      </c>
      <c r="C18" s="97" t="s">
        <v>38</v>
      </c>
      <c r="D18" s="309"/>
      <c r="E18" s="310"/>
      <c r="F18" s="310"/>
      <c r="G18" s="310"/>
      <c r="H18" s="310"/>
      <c r="I18" s="311"/>
      <c r="J18" s="119"/>
      <c r="K18" s="119"/>
      <c r="L18" s="119"/>
      <c r="M18" s="119"/>
      <c r="N18" s="119"/>
      <c r="O18" s="227"/>
      <c r="P18" s="4"/>
      <c r="Q18" s="159">
        <f t="shared" ref="Q18:U19" si="8">J18</f>
        <v>0</v>
      </c>
      <c r="R18" s="159">
        <f t="shared" si="8"/>
        <v>0</v>
      </c>
      <c r="S18" s="159">
        <f t="shared" si="8"/>
        <v>0</v>
      </c>
      <c r="T18" s="159">
        <f t="shared" si="8"/>
        <v>0</v>
      </c>
      <c r="U18" s="159">
        <f t="shared" si="8"/>
        <v>0</v>
      </c>
      <c r="V18" s="66"/>
      <c r="W18" s="4"/>
      <c r="X18" s="159">
        <f t="shared" ref="X18:AB19" si="9">J18</f>
        <v>0</v>
      </c>
      <c r="Y18" s="159">
        <f t="shared" si="9"/>
        <v>0</v>
      </c>
      <c r="Z18" s="159">
        <f t="shared" si="9"/>
        <v>0</v>
      </c>
      <c r="AA18" s="159">
        <f t="shared" si="9"/>
        <v>0</v>
      </c>
      <c r="AB18" s="159">
        <f t="shared" si="9"/>
        <v>0</v>
      </c>
      <c r="AC18" s="66"/>
      <c r="AD18" s="4"/>
    </row>
    <row r="19" spans="1:30" ht="15.75" x14ac:dyDescent="0.3">
      <c r="A19" s="114" t="str">
        <f>IF($O$1="de","Maximale Traktionsleistung am Rad",
IF($O$1="fr","Prestation maximale à la roue",
IF($O$1="it","Potenza massima sulla ruota",
IF($O$1="en","Maximum power at wheel","select language in cell N1"))))</f>
        <v>Maximale Traktionsleistung am Rad</v>
      </c>
      <c r="B19" s="114" t="s">
        <v>37</v>
      </c>
      <c r="C19" s="115" t="s">
        <v>36</v>
      </c>
      <c r="D19" s="309"/>
      <c r="E19" s="310"/>
      <c r="F19" s="310"/>
      <c r="G19" s="310"/>
      <c r="H19" s="310"/>
      <c r="I19" s="311"/>
      <c r="J19" s="122"/>
      <c r="K19" s="122"/>
      <c r="L19" s="122"/>
      <c r="M19" s="122"/>
      <c r="N19" s="122"/>
      <c r="O19" s="227">
        <f>2*SUMPRODUCT(J19:N19,$J$14:$N$14)</f>
        <v>0</v>
      </c>
      <c r="P19" s="4"/>
      <c r="Q19" s="160">
        <f t="shared" si="8"/>
        <v>0</v>
      </c>
      <c r="R19" s="160">
        <f t="shared" si="8"/>
        <v>0</v>
      </c>
      <c r="S19" s="160">
        <f t="shared" si="8"/>
        <v>0</v>
      </c>
      <c r="T19" s="160">
        <f t="shared" si="8"/>
        <v>0</v>
      </c>
      <c r="U19" s="160">
        <f t="shared" si="8"/>
        <v>0</v>
      </c>
      <c r="V19" s="66"/>
      <c r="W19" s="4"/>
      <c r="X19" s="160">
        <f t="shared" si="9"/>
        <v>0</v>
      </c>
      <c r="Y19" s="160">
        <f t="shared" si="9"/>
        <v>0</v>
      </c>
      <c r="Z19" s="160">
        <f t="shared" si="9"/>
        <v>0</v>
      </c>
      <c r="AA19" s="160">
        <f t="shared" si="9"/>
        <v>0</v>
      </c>
      <c r="AB19" s="160">
        <f t="shared" si="9"/>
        <v>0</v>
      </c>
      <c r="AC19" s="66"/>
      <c r="AD19" s="4"/>
    </row>
    <row r="20" spans="1:30" ht="15.75" x14ac:dyDescent="0.3">
      <c r="A20" s="204">
        <v>270</v>
      </c>
      <c r="B20" s="116" t="s">
        <v>150</v>
      </c>
      <c r="C20" s="117" t="s">
        <v>9</v>
      </c>
      <c r="D20" s="309" t="str">
        <f>IF($O$1="de","aus MKS-Simulation",
IF($O$1="fr","par simulation SMC",
IF($O$1="it","da simulazione MBS",
IF($O$1="en","from MBS simulation","select language in cell N1"))))</f>
        <v>aus MKS-Simulation</v>
      </c>
      <c r="E20" s="310"/>
      <c r="F20" s="310"/>
      <c r="G20" s="310"/>
      <c r="H20" s="310"/>
      <c r="I20" s="311"/>
      <c r="J20" s="121"/>
      <c r="K20" s="121"/>
      <c r="L20" s="121"/>
      <c r="M20" s="121"/>
      <c r="N20" s="121"/>
      <c r="O20" s="227"/>
      <c r="P20" s="4"/>
      <c r="Q20" s="157">
        <f>J20*Q38</f>
        <v>0</v>
      </c>
      <c r="R20" s="157">
        <f>K20*R38</f>
        <v>0</v>
      </c>
      <c r="S20" s="157">
        <f>L20*S38</f>
        <v>0</v>
      </c>
      <c r="T20" s="157">
        <f>M20*T38</f>
        <v>0</v>
      </c>
      <c r="U20" s="157">
        <f>N20*U38</f>
        <v>0</v>
      </c>
      <c r="V20" s="66"/>
      <c r="W20" s="4"/>
      <c r="X20" s="157">
        <f>J20*X38</f>
        <v>0</v>
      </c>
      <c r="Y20" s="157">
        <f>K20*Y38</f>
        <v>0</v>
      </c>
      <c r="Z20" s="157">
        <f>L20*Z38</f>
        <v>0</v>
      </c>
      <c r="AA20" s="157">
        <f>M20*AA38</f>
        <v>0</v>
      </c>
      <c r="AB20" s="157">
        <f>N20*AB38</f>
        <v>0</v>
      </c>
      <c r="AC20" s="66"/>
      <c r="AD20" s="4"/>
    </row>
    <row r="21" spans="1:30" ht="15.75" x14ac:dyDescent="0.3">
      <c r="A21" s="204">
        <v>343</v>
      </c>
      <c r="B21" s="116" t="s">
        <v>151</v>
      </c>
      <c r="C21" s="117" t="s">
        <v>9</v>
      </c>
      <c r="D21" s="309" t="str">
        <f>D20</f>
        <v>aus MKS-Simulation</v>
      </c>
      <c r="E21" s="310"/>
      <c r="F21" s="310"/>
      <c r="G21" s="310"/>
      <c r="H21" s="310"/>
      <c r="I21" s="311"/>
      <c r="J21" s="121"/>
      <c r="K21" s="121"/>
      <c r="L21" s="121"/>
      <c r="M21" s="121"/>
      <c r="N21" s="121"/>
      <c r="O21" s="227"/>
      <c r="P21" s="4"/>
      <c r="Q21" s="157">
        <f>J21*Q38</f>
        <v>0</v>
      </c>
      <c r="R21" s="157">
        <f>K21*R38</f>
        <v>0</v>
      </c>
      <c r="S21" s="157">
        <f>L21*S38</f>
        <v>0</v>
      </c>
      <c r="T21" s="157">
        <f>M21*T38</f>
        <v>0</v>
      </c>
      <c r="U21" s="157">
        <f>N21*U38</f>
        <v>0</v>
      </c>
      <c r="V21" s="66"/>
      <c r="W21" s="4"/>
      <c r="X21" s="157">
        <f>J21*X38</f>
        <v>0</v>
      </c>
      <c r="Y21" s="157">
        <f>K21*Y38</f>
        <v>0</v>
      </c>
      <c r="Z21" s="157">
        <f>L21*Z38</f>
        <v>0</v>
      </c>
      <c r="AA21" s="157">
        <f>M21*AA38</f>
        <v>0</v>
      </c>
      <c r="AB21" s="157">
        <f>N21*AB38</f>
        <v>0</v>
      </c>
      <c r="AC21" s="66"/>
      <c r="AD21" s="4"/>
    </row>
    <row r="22" spans="1:30" ht="15.75" x14ac:dyDescent="0.3">
      <c r="A22" s="204">
        <v>480</v>
      </c>
      <c r="B22" s="116" t="s">
        <v>152</v>
      </c>
      <c r="C22" s="117" t="s">
        <v>9</v>
      </c>
      <c r="D22" s="309" t="str">
        <f>D20</f>
        <v>aus MKS-Simulation</v>
      </c>
      <c r="E22" s="310"/>
      <c r="F22" s="310"/>
      <c r="G22" s="310"/>
      <c r="H22" s="310"/>
      <c r="I22" s="311"/>
      <c r="J22" s="120"/>
      <c r="K22" s="120"/>
      <c r="L22" s="120"/>
      <c r="M22" s="120"/>
      <c r="N22" s="120"/>
      <c r="O22" s="227"/>
      <c r="P22" s="4"/>
      <c r="Q22" s="157">
        <f>J22*Q38</f>
        <v>0</v>
      </c>
      <c r="R22" s="157">
        <f>K22*R38</f>
        <v>0</v>
      </c>
      <c r="S22" s="157">
        <f>L22*S38</f>
        <v>0</v>
      </c>
      <c r="T22" s="157">
        <f>M22*T38</f>
        <v>0</v>
      </c>
      <c r="U22" s="157">
        <f>N22*U38</f>
        <v>0</v>
      </c>
      <c r="V22" s="66"/>
      <c r="W22" s="4"/>
      <c r="X22" s="157">
        <f>J22*X38</f>
        <v>0</v>
      </c>
      <c r="Y22" s="157">
        <f>K22*Y38</f>
        <v>0</v>
      </c>
      <c r="Z22" s="157">
        <f>L22*Z38</f>
        <v>0</v>
      </c>
      <c r="AA22" s="157">
        <f>M22*AA38</f>
        <v>0</v>
      </c>
      <c r="AB22" s="157">
        <f>N22*AB38</f>
        <v>0</v>
      </c>
      <c r="AC22" s="66"/>
      <c r="AD22" s="4"/>
    </row>
    <row r="23" spans="1:30" ht="15.75" x14ac:dyDescent="0.3">
      <c r="A23" s="204">
        <v>800</v>
      </c>
      <c r="B23" s="116" t="s">
        <v>153</v>
      </c>
      <c r="C23" s="117" t="s">
        <v>9</v>
      </c>
      <c r="D23" s="309" t="str">
        <f>D20</f>
        <v>aus MKS-Simulation</v>
      </c>
      <c r="E23" s="310"/>
      <c r="F23" s="310"/>
      <c r="G23" s="310"/>
      <c r="H23" s="310"/>
      <c r="I23" s="311"/>
      <c r="J23" s="120"/>
      <c r="K23" s="120"/>
      <c r="L23" s="120"/>
      <c r="M23" s="120"/>
      <c r="N23" s="120"/>
      <c r="O23" s="227"/>
      <c r="P23" s="4"/>
      <c r="Q23" s="157">
        <f>J23*Q38</f>
        <v>0</v>
      </c>
      <c r="R23" s="157">
        <f>K23*R38</f>
        <v>0</v>
      </c>
      <c r="S23" s="157">
        <f>L23*S38</f>
        <v>0</v>
      </c>
      <c r="T23" s="157">
        <f>M23*T38</f>
        <v>0</v>
      </c>
      <c r="U23" s="157">
        <f>N23*U38</f>
        <v>0</v>
      </c>
      <c r="V23" s="66"/>
      <c r="W23" s="4"/>
      <c r="X23" s="157">
        <f>J23*X38</f>
        <v>0</v>
      </c>
      <c r="Y23" s="157">
        <f>K23*Y38</f>
        <v>0</v>
      </c>
      <c r="Z23" s="157">
        <f>L23*Z38</f>
        <v>0</v>
      </c>
      <c r="AA23" s="157">
        <f>M23*AA38</f>
        <v>0</v>
      </c>
      <c r="AB23" s="157">
        <f>N23*AB38</f>
        <v>0</v>
      </c>
      <c r="AC23" s="66"/>
      <c r="AD23" s="4"/>
    </row>
    <row r="24" spans="1:30" ht="15.75" x14ac:dyDescent="0.3">
      <c r="A24" s="229" t="str">
        <f>IF($O$1="de","Querkraft des führenden Rades bei Weichenfahrt",
IF($O$1="fr","Force transversale de la roue avant au passage d'une aiguille",
IF($O$1="it","Forza trasversale della ruota di guida durante il transito su uno scambio",
IF($O$1="en","Lateral force of leading wheel when travelling over points","select language in cell N1"))))</f>
        <v>Querkraft des führenden Rades bei Weichenfahrt</v>
      </c>
      <c r="B24" s="132" t="s">
        <v>148</v>
      </c>
      <c r="C24" s="113" t="s">
        <v>26</v>
      </c>
      <c r="D24" s="309" t="str">
        <f>D20</f>
        <v>aus MKS-Simulation</v>
      </c>
      <c r="E24" s="310"/>
      <c r="F24" s="310"/>
      <c r="G24" s="310"/>
      <c r="H24" s="310"/>
      <c r="I24" s="311"/>
      <c r="J24" s="121"/>
      <c r="K24" s="121"/>
      <c r="L24" s="121"/>
      <c r="M24" s="121"/>
      <c r="N24" s="121"/>
      <c r="O24" s="228"/>
      <c r="P24" s="4"/>
      <c r="Q24" s="158">
        <f>J24*Q44</f>
        <v>0</v>
      </c>
      <c r="R24" s="158">
        <f>K24*R44</f>
        <v>0</v>
      </c>
      <c r="S24" s="158">
        <f>L24*S44</f>
        <v>0</v>
      </c>
      <c r="T24" s="158">
        <f>M24*T44</f>
        <v>0</v>
      </c>
      <c r="U24" s="158">
        <f>N24*U44</f>
        <v>0</v>
      </c>
      <c r="V24" s="66"/>
      <c r="W24" s="4"/>
      <c r="X24" s="158">
        <f>J24*X44</f>
        <v>0</v>
      </c>
      <c r="Y24" s="158">
        <f>K24*Y44</f>
        <v>0</v>
      </c>
      <c r="Z24" s="158">
        <f>L24*Z44</f>
        <v>0</v>
      </c>
      <c r="AA24" s="158">
        <f>M24*AA44</f>
        <v>0</v>
      </c>
      <c r="AB24" s="158">
        <f>N24*AB44</f>
        <v>0</v>
      </c>
      <c r="AC24" s="66"/>
      <c r="AD24" s="4"/>
    </row>
    <row r="25" spans="1:30" ht="15" customHeight="1" x14ac:dyDescent="0.2">
      <c r="A25" s="95" t="str">
        <f>IF($O$1="de","Abschätzung der Datenunsicherheit für die Bestimmung der Preisgrenze",
IF($O$1="fr","Estimation de l'inexactitude des données pour la fixation du barême des prix",
IF($O$1="it","Stima dell’incertezza dei dati per la determinazione dei limiti di prezzo",
IF($O$1="en","Estimation of data uncertainty for the determination of the price limits","select language in cell N1"))))</f>
        <v>Abschätzung der Datenunsicherheit für die Bestimmung der Preisgrenze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4"/>
      <c r="Q25" s="71"/>
      <c r="R25" s="71"/>
      <c r="S25" s="71"/>
      <c r="T25" s="71"/>
      <c r="U25" s="71"/>
      <c r="V25" s="71"/>
      <c r="W25" s="4"/>
      <c r="X25" s="71"/>
      <c r="Y25" s="71"/>
      <c r="Z25" s="71"/>
      <c r="AA25" s="71"/>
      <c r="AB25" s="71"/>
      <c r="AC25" s="71"/>
      <c r="AD25" s="4"/>
    </row>
    <row r="26" spans="1:30" ht="33.75" customHeight="1" outlineLevel="1" x14ac:dyDescent="0.2">
      <c r="A26" s="211" t="str">
        <f>IF($O$1="de","Dienstgewichtabweichung",
IF($O$1="fr","Variation par rapport au poids de service",
IF($O$1="it","Scostamento peso in servizio",
IF($O$1="en","Service weight deviation","select language in cell N1"))))</f>
        <v>Dienstgewichtabweichung</v>
      </c>
      <c r="B26" s="97"/>
      <c r="C26" s="97"/>
      <c r="D26" s="312" t="str">
        <f>IF($O$1="de","- keine Serienunterschiede, Neubau:       1%
- Altfahrzeuge mit Refits:                     2.5%
- Altfahrzeuge mit Refits, versch. EVUs:  5%",
IF($O$1="fr","- Pas de différence de série, construction nouvelle : 1%
- Anciens véhicules transformés :                        2.5%
- Anciens véhicules transformés, div. ETF:              5%",
IF($O$1="it","- nessuna differenza fra le serie, nuova costruzione: 1%
- veicoli vecchi con refit:                                      2.5%
- veicoli vecchi con refit, diverse ITF:                       5%",
IF($O$1="en","- No series differences, new build:        1%
- Old vehicles with refits:                   2.5%
- Old vehicles with refits, different RUs: 5%","select language in cell N1"))))</f>
        <v>- keine Serienunterschiede, Neubau:       1%
- Altfahrzeuge mit Refits:                     2.5%
- Altfahrzeuge mit Refits, versch. EVUs:  5%</v>
      </c>
      <c r="E26" s="313"/>
      <c r="F26" s="313"/>
      <c r="G26" s="313"/>
      <c r="H26" s="313"/>
      <c r="I26" s="314"/>
      <c r="J26" s="102">
        <f>$O26</f>
        <v>0</v>
      </c>
      <c r="K26" s="102">
        <f>$O26</f>
        <v>0</v>
      </c>
      <c r="L26" s="102">
        <f>$O26</f>
        <v>0</v>
      </c>
      <c r="M26" s="102">
        <f>$O26</f>
        <v>0</v>
      </c>
      <c r="N26" s="102">
        <f>$O26</f>
        <v>0</v>
      </c>
      <c r="O26" s="103"/>
      <c r="P26" s="4"/>
      <c r="Q26" s="72"/>
      <c r="R26" s="72"/>
      <c r="S26" s="72"/>
      <c r="T26" s="72"/>
      <c r="U26" s="72"/>
      <c r="V26" s="72"/>
      <c r="W26" s="4"/>
      <c r="X26" s="72"/>
      <c r="Y26" s="72"/>
      <c r="Z26" s="72"/>
      <c r="AA26" s="72"/>
      <c r="AB26" s="72"/>
      <c r="AC26" s="72"/>
      <c r="AD26" s="4"/>
    </row>
    <row r="27" spans="1:30" ht="67.5" customHeight="1" outlineLevel="1" x14ac:dyDescent="0.2">
      <c r="A27" s="212" t="str">
        <f>IF($O$1="de","Unsicherheit bei der unabgefederten Masse aufgrund Antriebs- / Radsatzbauart",
IF($O$1="fr","Incertitude sur la masse non suspendue en raison du type de construction du moteur / de l'essieu",
IF($O$1="it","Incertezza relativa alla massa non sospesa in base al tipo di trasmissione / sala montata",
IF($O$1="en","Uncertainty regarding the unsprung mass due to drive/wheelset design","select language in cell N1"))))</f>
        <v>Unsicherheit bei der unabgefederten Masse aufgrund Antriebs- / Radsatzbauart</v>
      </c>
      <c r="B27" s="97"/>
      <c r="C27" s="97"/>
      <c r="D27" s="315" t="str">
        <f>IF($O$1="de","exakte Massendaten vorhanden:     0%
keine exakten Daten vorhanden:
- Laufradsatz klotzgebremst:          0%
- Laufradsatz scheibengebremst:    5%
- Antrieb vollabgefedert:                  8%
- Antrieb teil-/unabgefedert:           15%",
IF($O$1="fr",CONCATENATE("Données des dimensions exactes disponibles:  0%
Pas de données exactes disponibles:","
- essieu porteur avec frein à sabot:                    0%
- essieu porteur avec frein à disques:                 5%
- traction suspension complète:                        8%
- traction suspension partielle/ pas de susp.     15%"),
IF($O$1="it",CONCATENATE("Disponibili dati di misurazione precisi:                                       0%
Dati esatti non disponibili:","
- sala portante con freno a ceppo:                                             0%
- sala portante con freno a disco:                                              5%
- trasmissione completamente ammortizzata:                            8%","
- trasmissione parzialmente ammortizzata / non ammortizzata: 15%"),
IF($O$1="en","Exact mass data available:              0%
No exact data available:
- Trailing wheelset, block brakes:     0%
- Trailing wheelset, disc brakes:       5%
- Drive, fully sprung:                        8%
- Drive, partially sprung/unsprung:   15%","select language in cell N1"))))</f>
        <v>exakte Massendaten vorhanden:     0%
keine exakten Daten vorhanden:
- Laufradsatz klotzgebremst:          0%
- Laufradsatz scheibengebremst:    5%
- Antrieb vollabgefedert:                  8%
- Antrieb teil-/unabgefedert:           15%</v>
      </c>
      <c r="E27" s="316"/>
      <c r="F27" s="316"/>
      <c r="G27" s="316"/>
      <c r="H27" s="316"/>
      <c r="I27" s="317"/>
      <c r="J27" s="103"/>
      <c r="K27" s="103"/>
      <c r="L27" s="103"/>
      <c r="M27" s="103"/>
      <c r="N27" s="103"/>
      <c r="O27" s="100"/>
      <c r="P27" s="4"/>
      <c r="R27" s="72"/>
      <c r="S27" s="72"/>
      <c r="T27" s="72"/>
      <c r="U27" s="72"/>
      <c r="V27" s="64"/>
      <c r="W27" s="4"/>
      <c r="X27" s="72"/>
      <c r="Y27" s="72"/>
      <c r="Z27" s="72"/>
      <c r="AA27" s="72"/>
      <c r="AB27" s="72"/>
      <c r="AC27" s="64"/>
      <c r="AD27" s="4"/>
    </row>
    <row r="28" spans="1:30" ht="47.25" customHeight="1" outlineLevel="1" x14ac:dyDescent="0.2">
      <c r="A28" s="211" t="str">
        <f>IF($O$1="de","Längssteifigkeit der Radsatzführung",
IF($O$1="fr","Rigidité longitudinale de la direction de l'essieu",
IF($O$1="it","Rigidezza longitudinale della guida degli assi",
IF($O$1="en","Longitudinal stiffness of the wheelset guidance","select language in cell N1"))))</f>
        <v>Längssteifigkeit der Radsatzführung</v>
      </c>
      <c r="B28" s="97"/>
      <c r="C28" s="97"/>
      <c r="D28" s="318" t="s">
        <v>211</v>
      </c>
      <c r="E28" s="319"/>
      <c r="F28" s="319"/>
      <c r="G28" s="319"/>
      <c r="H28" s="319"/>
      <c r="I28" s="320"/>
      <c r="J28" s="101"/>
      <c r="K28" s="101"/>
      <c r="L28" s="101"/>
      <c r="M28" s="101"/>
      <c r="N28" s="101"/>
      <c r="O28" s="100"/>
      <c r="P28" s="4"/>
      <c r="Q28" s="72"/>
      <c r="R28" s="72"/>
      <c r="S28" s="72"/>
      <c r="T28" s="72"/>
      <c r="U28" s="72"/>
      <c r="V28" s="64"/>
      <c r="W28" s="4"/>
      <c r="X28" s="64"/>
      <c r="Y28" s="72"/>
      <c r="Z28" s="72"/>
      <c r="AA28" s="72"/>
      <c r="AB28" s="72"/>
      <c r="AC28" s="64"/>
      <c r="AD28" s="4"/>
    </row>
    <row r="29" spans="1:30" ht="35.25" customHeight="1" outlineLevel="1" x14ac:dyDescent="0.2">
      <c r="A29" s="211" t="str">
        <f>IF($O$1="de","Unsicherheit in der Schlingerdämpfung",
IF($O$1="fr","Incertitude dans l'amortissement anti-lacet",
IF($O$1="it","Incertezza relativa all’ammortizzazione antiserpeggio",
IF($O$1="en","Uncertainty in the yaw damping","select language in cell N1"))))</f>
        <v>Unsicherheit in der Schlingerdämpfung</v>
      </c>
      <c r="B29" s="97"/>
      <c r="C29" s="97"/>
      <c r="D29" s="302" t="str">
        <f>IF($O$1="de","- Kein Schlingerdämpfer:      0%
- Kennlinie exakt bekannt:    0%
- Kennlinie geschätzt:         20%",
IF($O$1="fr","- pas d'amortisseur anti-lacet:                           0%
- ligne caractéristique connue avec précision :    0%
- ligne caractéristique estimée:                        20%",
IF($O$1="it","- nessun ammortizzatore antiserpeggio:      0%
- curva caratteristica nota con precisione:    0%
- curva caratteristica stimata:                    20%",
IF($O$1="en","- No yaw damper:                          0%
- Characteristic known precisely:    0%
- Characteristic estimated:           20%","select language in cell N1"))))</f>
        <v>- Kein Schlingerdämpfer:      0%
- Kennlinie exakt bekannt:    0%
- Kennlinie geschätzt:         20%</v>
      </c>
      <c r="E29" s="303"/>
      <c r="F29" s="303"/>
      <c r="G29" s="303"/>
      <c r="H29" s="303"/>
      <c r="I29" s="304"/>
      <c r="J29" s="103"/>
      <c r="K29" s="103"/>
      <c r="L29" s="103"/>
      <c r="M29" s="103"/>
      <c r="N29" s="103"/>
      <c r="O29" s="100"/>
      <c r="P29" s="4"/>
      <c r="Q29" s="72"/>
      <c r="R29" s="72"/>
      <c r="S29" s="72"/>
      <c r="T29" s="72"/>
      <c r="U29" s="72"/>
      <c r="V29" s="64"/>
      <c r="W29" s="4"/>
      <c r="X29" s="72"/>
      <c r="Y29" s="72"/>
      <c r="Z29" s="72"/>
      <c r="AA29" s="72"/>
      <c r="AB29" s="72"/>
      <c r="AC29" s="64"/>
      <c r="AD29" s="4"/>
    </row>
    <row r="30" spans="1:30" ht="26.45" customHeight="1" outlineLevel="1" x14ac:dyDescent="0.2">
      <c r="A30" s="213" t="str">
        <f>IF($O$1="de","Unsicherheit des Massenträgheitsmomentes des Fahrwerks um die Hochachse",
IF($O$1="fr","Incertitude sur le moment d'inertie de masse du châssis autour de l'axe vertical",
IF($O$1="it","Incertezza relativa al momento di inerzia di massa dell’organo di rotolamento attorno all’asse verticale",
IF($O$1="en","Uncertainty regarding the mass moment of inertia of the running gear about the vertical axis","select language in cell N1"))))</f>
        <v>Unsicherheit des Massenträgheitsmomentes des Fahrwerks um die Hochachse</v>
      </c>
      <c r="B30" s="97"/>
      <c r="C30" s="97"/>
      <c r="D30" s="302" t="str">
        <f>IF($O$1="de","- exakte Daten aus CAD:    20%
- Daten geschätzt:             40%",
IF($O$1="fr","- données exactes du CAD:   20%
- données estimées:             40%",
IF($O$1="it","- dati esatti da CAD:    20%
- dati stimati:              40%",
IF($O$1="en","- Exact data from CAD:  20%
- Data estimated:           40%","select language in cell N1"))))</f>
        <v>- exakte Daten aus CAD:    20%
- Daten geschätzt:             40%</v>
      </c>
      <c r="E30" s="303"/>
      <c r="F30" s="303"/>
      <c r="G30" s="303"/>
      <c r="H30" s="303"/>
      <c r="I30" s="304"/>
      <c r="J30" s="103"/>
      <c r="K30" s="103"/>
      <c r="L30" s="103"/>
      <c r="M30" s="103"/>
      <c r="N30" s="103"/>
      <c r="O30" s="100"/>
      <c r="P30" s="4"/>
      <c r="Q30" s="72"/>
      <c r="R30" s="72"/>
      <c r="S30" s="72"/>
      <c r="T30" s="72"/>
      <c r="U30" s="72"/>
      <c r="V30" s="64"/>
      <c r="W30" s="4"/>
      <c r="X30" s="72"/>
      <c r="Y30" s="72"/>
      <c r="Z30" s="72"/>
      <c r="AA30" s="72"/>
      <c r="AB30" s="72"/>
      <c r="AC30" s="64"/>
      <c r="AD30" s="4"/>
    </row>
    <row r="31" spans="1:30" ht="47.25" customHeight="1" outlineLevel="1" x14ac:dyDescent="0.2">
      <c r="A31" s="214" t="str">
        <f>IF($O$1="de","Reibwert der Reibelemente",
IF($O$1="fr","Valeurs de frottement des éléments de friction",
IF($O$1="it","Coefficiente d’attrito degli elementi di frizione",
IF($O$1="en","Frictional value of the frictional elements","select language in cell N1"))))</f>
        <v>Reibwert der Reibelemente</v>
      </c>
      <c r="B31" s="146"/>
      <c r="C31" s="146"/>
      <c r="D31" s="305" t="str">
        <f>IF($O$1="de","- Keine Reibelemente:  0.00
- μ &lt; 0.08:                   0.05
- 0.08 ≤ μ &lt; 0.15          0.10
- μ ≥ 0.15                    0.20",
IF($O$1="fr","- pas d'éléments de friction:   0.00
- μ &lt; 0.08:                            0.05
- 0.08 ≤ μ &lt; 0.15                   0.10
- μ ≥ 0.15                             0.20",
IF($O$1="it","- nessun elemento di frizione:   0.00
- μ &lt; 0,08:                               0.05
- 0,08 ≤ μ &lt; 0,15                      0.10
- μ ≥ 0,15                                0.20",
IF($O$1="en","- No frictional elements:    0.00
- μ &lt; 0.08:                       0.05
- 0.08 ≤ μ &lt; 0.15              0.10
- μ ≥ 0.15                        0.20","select language in cell N1"))))</f>
        <v>- Keine Reibelemente:  0.00
- μ &lt; 0.08:                   0.05
- 0.08 ≤ μ &lt; 0.15          0.10
- μ ≥ 0.15                    0.20</v>
      </c>
      <c r="E31" s="306"/>
      <c r="F31" s="306"/>
      <c r="G31" s="306"/>
      <c r="H31" s="306"/>
      <c r="I31" s="307"/>
      <c r="J31" s="147"/>
      <c r="K31" s="147"/>
      <c r="L31" s="147"/>
      <c r="M31" s="147"/>
      <c r="N31" s="147"/>
      <c r="O31" s="148"/>
      <c r="P31" s="4"/>
      <c r="Q31" s="72"/>
      <c r="R31" s="72"/>
      <c r="S31" s="72"/>
      <c r="T31" s="72"/>
      <c r="U31" s="72"/>
      <c r="V31" s="64"/>
      <c r="W31" s="4"/>
      <c r="X31" s="72"/>
      <c r="Y31" s="72"/>
      <c r="Z31" s="72"/>
      <c r="AA31" s="72"/>
      <c r="AB31" s="72"/>
      <c r="AC31" s="64"/>
      <c r="AD31" s="4"/>
    </row>
    <row r="32" spans="1:30" ht="18.600000000000001" customHeight="1" outlineLevel="1" collapsed="1" x14ac:dyDescent="0.2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4"/>
      <c r="Q32" s="156" t="str">
        <f>IF($O$1="de","Faktor fu",
IF($O$1="fr","facteur fu",
IF($O$1="it","fattore fu",
IF($O$1="en","factor fu","select language in cell N1"))))</f>
        <v>Faktor fu</v>
      </c>
      <c r="R32" s="156"/>
      <c r="S32" s="156"/>
      <c r="T32" s="156"/>
      <c r="U32" s="156"/>
      <c r="V32" s="66"/>
      <c r="W32" s="4"/>
      <c r="X32" s="156" t="str">
        <f>IF($O$1="de","Faktor fo",
IF($O$1="fr","facteur fo",
IF($O$1="it","fattore fo",
IF($O$1="en","factor fo","select language in cell N1"))))</f>
        <v>Faktor fo</v>
      </c>
      <c r="Y32" s="156"/>
      <c r="Z32" s="156"/>
      <c r="AA32" s="156"/>
      <c r="AB32" s="156"/>
      <c r="AC32" s="66"/>
      <c r="AD32" s="4"/>
    </row>
    <row r="33" spans="1:31" ht="15.6" hidden="1" customHeight="1" outlineLevel="2" x14ac:dyDescent="0.3">
      <c r="A33" s="166" t="str">
        <f>IF($O$1="de","Faktor für Q0",
IF($O$1="fr","Facteur pour Q0",
IF($O$1="it","Fattore per Q0",
IF($O$1="en","Factor for Q0","select language in cell N1"))))</f>
        <v>Faktor für Q0</v>
      </c>
      <c r="B33" s="167" t="s">
        <v>196</v>
      </c>
      <c r="C33" s="167"/>
      <c r="D33" s="308" t="str">
        <f>IF($O$1="de","aus Dienstgewichtabweichung",
IF($O$1="fr","issu de la variation du poids de service",
IF($O$1="it","da scostamento peso in servizio",
IF($O$1="en","from service weight deviation","select language in cell N1"))))</f>
        <v>aus Dienstgewichtabweichung</v>
      </c>
      <c r="E33" s="308"/>
      <c r="F33" s="308"/>
      <c r="G33" s="308"/>
      <c r="H33" s="308"/>
      <c r="I33" s="308"/>
      <c r="P33" s="4"/>
      <c r="Q33" s="163">
        <f>IF(J$26="1%",0.99,
   IF(J$26="2.5%",0.975,
    IF(J$26="5%",0.95,1)))</f>
        <v>1</v>
      </c>
      <c r="R33" s="163">
        <f>IF(K$26="1%",0.99,
   IF(K$26="2.5%",0.975,
    IF(K$26="5%",0.95,1)))</f>
        <v>1</v>
      </c>
      <c r="S33" s="163">
        <f>IF(L$26="1%",0.99,
   IF(L$26="2.5%",0.975,
    IF(L$26="5%",0.95,1)))</f>
        <v>1</v>
      </c>
      <c r="T33" s="163">
        <f>IF(M$26="1%",0.99,
   IF(M$26="2.5%",0.975,
    IF(M$26="5%",0.95,1)))</f>
        <v>1</v>
      </c>
      <c r="U33" s="163">
        <f>IF(N$26="1%",0.99,
   IF(N$26="2.5%",0.975,
    IF(N$26="5%",0.95,1)))</f>
        <v>1</v>
      </c>
      <c r="V33" s="65"/>
      <c r="W33" s="4"/>
      <c r="X33" s="163">
        <f>2-Q33</f>
        <v>1</v>
      </c>
      <c r="Y33" s="163">
        <f>2-R33</f>
        <v>1</v>
      </c>
      <c r="Z33" s="163">
        <f>2-S33</f>
        <v>1</v>
      </c>
      <c r="AA33" s="163">
        <f>2-T33</f>
        <v>1</v>
      </c>
      <c r="AB33" s="163">
        <f>2-U33</f>
        <v>1</v>
      </c>
      <c r="AC33" s="65"/>
      <c r="AD33" s="4"/>
    </row>
    <row r="34" spans="1:31" ht="15.6" hidden="1" customHeight="1" outlineLevel="2" x14ac:dyDescent="0.3">
      <c r="A34" s="166" t="str">
        <f>IF($O$1="de","Faktor für mu",
IF($O$1="fr","Facteur pour mu",
IF($O$1="it","Fattore per mu",
IF($O$1="en","Factor for mu","select language in cell N1"))))</f>
        <v>Faktor für mu</v>
      </c>
      <c r="B34" s="167" t="s">
        <v>197</v>
      </c>
      <c r="C34" s="167"/>
      <c r="D34" s="300" t="str">
        <f>IF($O$1="de","aus Antriebs- / Radsatzbauart",
IF($O$1="fr","issu du type de traction/d'essieu",
IF($O$1="it","da tipo di trasmissione / sala montata",
IF($O$1="en","from drive/wheelset design","select language in cell N1"))))</f>
        <v>aus Antriebs- / Radsatzbauart</v>
      </c>
      <c r="E34" s="300"/>
      <c r="F34" s="300"/>
      <c r="G34" s="300"/>
      <c r="H34" s="300"/>
      <c r="I34" s="300"/>
      <c r="P34" s="4"/>
      <c r="Q34" s="163">
        <f>IF(J$27="0%",1,
   IF(J$27="5%",0.95,
    IF(J$27="8%",0.92,
     IF(J$27="15%",0.85,1))))</f>
        <v>1</v>
      </c>
      <c r="R34" s="163">
        <f>IF(K$27="0%",1,
   IF(K$27="5%",0.95,
    IF(K$27="8%",0.92,
     IF(K$27="15%",0.85,1))))</f>
        <v>1</v>
      </c>
      <c r="S34" s="163">
        <f>IF(L$27="0%",1,
   IF(L$27="5%",0.95,
    IF(L$27="8%",0.92,
     IF(L$27="15%",0.85,1))))</f>
        <v>1</v>
      </c>
      <c r="T34" s="163">
        <f>IF(M$27="0%",1,
   IF(M$27="5%",0.95,
    IF(M$27="8%",0.92,
     IF(M$27="15%",0.85,1))))</f>
        <v>1</v>
      </c>
      <c r="U34" s="163">
        <f>IF(N$27="0%",1,
   IF(N$27="5%",0.95,
    IF(N$27="8%",0.92,
     IF(N$27="15%",0.85,1))))</f>
        <v>1</v>
      </c>
      <c r="V34" s="65"/>
      <c r="W34" s="4"/>
      <c r="X34" s="163">
        <f t="shared" ref="X34:X43" si="10">2-Q34</f>
        <v>1</v>
      </c>
      <c r="Y34" s="163">
        <f t="shared" ref="Y34:AB37" si="11">2-R34</f>
        <v>1</v>
      </c>
      <c r="Z34" s="163">
        <f t="shared" si="11"/>
        <v>1</v>
      </c>
      <c r="AA34" s="163">
        <f t="shared" si="11"/>
        <v>1</v>
      </c>
      <c r="AB34" s="163">
        <f t="shared" si="11"/>
        <v>1</v>
      </c>
      <c r="AC34" s="65"/>
      <c r="AD34" s="4"/>
    </row>
    <row r="35" spans="1:31" ht="15.6" hidden="1" customHeight="1" outlineLevel="2" x14ac:dyDescent="0.3">
      <c r="A35" s="168" t="str">
        <f>IF($O$1="de","Teilfaktor für Wb aus Dienstgewichtabweichung",
IF($O$1="fr","Facteur partiel pour Wb issu de la variation du poids de service",
IF($O$1="it","Fattore parziale per Wb da scostamento peso in servizio",
IF($O$1="en","Sub-factor for Wb from service weight deviation","select language in cell N1"))))</f>
        <v>Teilfaktor für Wb aus Dienstgewichtabweichung</v>
      </c>
      <c r="B35" s="169" t="s">
        <v>198</v>
      </c>
      <c r="C35" s="169"/>
      <c r="D35" s="299"/>
      <c r="E35" s="299"/>
      <c r="F35" s="299"/>
      <c r="G35" s="299"/>
      <c r="H35" s="299"/>
      <c r="I35" s="299"/>
      <c r="P35" s="4"/>
      <c r="Q35" s="164">
        <f>IF(J$26="1%",0.99236,
   IF(J$26="2.5%",0.9809,
    IF(J$26="5%",0.9618,1)))</f>
        <v>1</v>
      </c>
      <c r="R35" s="164">
        <f>IF(K$26="1%",0.99236,
   IF(K$26="2.5%",0.9809,
    IF(K$26="5%",0.9618,1)))</f>
        <v>1</v>
      </c>
      <c r="S35" s="164">
        <f>IF(L$26="1%",0.99236,
   IF(L$26="2.5%",0.9809,
    IF(L$26="5%",0.9618,1)))</f>
        <v>1</v>
      </c>
      <c r="T35" s="164">
        <f>IF(M$26="1%",0.99236,
   IF(M$26="2.5%",0.9809,
    IF(M$26="5%",0.9618,1)))</f>
        <v>1</v>
      </c>
      <c r="U35" s="164">
        <f>IF(N$26="1%",0.99236,
   IF(N$26="2.5%",0.9809,
    IF(N$26="5%",0.9618,1)))</f>
        <v>1</v>
      </c>
      <c r="V35" s="65"/>
      <c r="W35" s="4"/>
      <c r="X35" s="164">
        <f t="shared" si="10"/>
        <v>1</v>
      </c>
      <c r="Y35" s="164">
        <f t="shared" si="11"/>
        <v>1</v>
      </c>
      <c r="Z35" s="164">
        <f t="shared" si="11"/>
        <v>1</v>
      </c>
      <c r="AA35" s="164">
        <f t="shared" si="11"/>
        <v>1</v>
      </c>
      <c r="AB35" s="164">
        <f t="shared" si="11"/>
        <v>1</v>
      </c>
      <c r="AC35" s="65"/>
      <c r="AD35" s="4"/>
    </row>
    <row r="36" spans="1:31" ht="15.6" hidden="1" customHeight="1" outlineLevel="2" x14ac:dyDescent="0.3">
      <c r="A36" s="168" t="str">
        <f>IF($O$1="de","Teilfaktor für Wb aus Radsatzführung",
IF($O$1="fr","Facteur partiel pour Wb issu de la direction de l'essieu",
IF($O$1="it","Fattore parziale per Wb da guida degli assi",
IF($O$1="en","Sub-factor for Wb from wheelset guidance","select language in cell N1"))))</f>
        <v>Teilfaktor für Wb aus Radsatzführung</v>
      </c>
      <c r="B36" s="169" t="s">
        <v>199</v>
      </c>
      <c r="C36" s="169"/>
      <c r="D36" s="299"/>
      <c r="E36" s="299"/>
      <c r="F36" s="299"/>
      <c r="G36" s="299"/>
      <c r="H36" s="299"/>
      <c r="I36" s="299"/>
      <c r="P36" s="4"/>
      <c r="Q36" s="164">
        <f>IF(J$28="40 kN/mm",0.98,
   IF(J$28="20 kN/mm",0.979,
    IF(J$28="10 kN/mm",0.932,
     IF(J$28="5 kN/mm",0.887,1))))</f>
        <v>1</v>
      </c>
      <c r="R36" s="164">
        <f>IF(K$28="40 kN/mm",0.98,
   IF(K$28="20 kN/mm",0.979,
    IF(K$28="10 kN/mm",0.932,
     IF(K$28="5 kN/mm",0.887,1))))</f>
        <v>1</v>
      </c>
      <c r="S36" s="164">
        <f>IF(L$28="40 kN/mm",0.98,
   IF(L$28="20 kN/mm",0.979,
    IF(L$28="10 kN/mm",0.932,
     IF(L$28="5 kN/mm",0.887,1))))</f>
        <v>1</v>
      </c>
      <c r="T36" s="164">
        <f>IF(M$28="40 kN/mm",0.98,
   IF(M$28="20 kN/mm",0.979,
    IF(M$28="10 kN/mm",0.932,
     IF(M$28="5 kN/mm",0.887,1))))</f>
        <v>1</v>
      </c>
      <c r="U36" s="164">
        <f>IF(N$28="40 kN/mm",0.98,
   IF(N$28="20 kN/mm",0.979,
    IF(N$28="10 kN/mm",0.932,
     IF(N$28="5 kN/mm",0.887,1))))</f>
        <v>1</v>
      </c>
      <c r="V36" s="65"/>
      <c r="W36" s="4"/>
      <c r="X36" s="164">
        <f t="shared" si="10"/>
        <v>1</v>
      </c>
      <c r="Y36" s="164">
        <f t="shared" si="11"/>
        <v>1</v>
      </c>
      <c r="Z36" s="164">
        <f t="shared" si="11"/>
        <v>1</v>
      </c>
      <c r="AA36" s="164">
        <f t="shared" si="11"/>
        <v>1</v>
      </c>
      <c r="AB36" s="164">
        <f t="shared" si="11"/>
        <v>1</v>
      </c>
      <c r="AC36" s="65"/>
      <c r="AD36" s="4"/>
    </row>
    <row r="37" spans="1:31" ht="15.6" hidden="1" customHeight="1" outlineLevel="2" x14ac:dyDescent="0.3">
      <c r="A37" s="168" t="str">
        <f>IF($O$1="de","Teilfaktor für Wb aus Reibelemente",
IF($O$1="fr","Facteur partiel pour Wb issu des éléments de friction",
IF($O$1="it","Fattore parziale per Wb da elementi di frizione",
IF($O$1="en","Sub-factor for Wb from frictional elements","select language in cell N1"))))</f>
        <v>Teilfaktor für Wb aus Reibelemente</v>
      </c>
      <c r="B37" s="169" t="s">
        <v>200</v>
      </c>
      <c r="C37" s="169"/>
      <c r="D37" s="299"/>
      <c r="E37" s="299"/>
      <c r="F37" s="299"/>
      <c r="G37" s="299"/>
      <c r="H37" s="299"/>
      <c r="I37" s="299"/>
      <c r="P37" s="4"/>
      <c r="Q37" s="164">
        <f>IF(J$31="0.00",1,
   IF(J$31="0.05",0.97,
    IF(J$31="0.10",0.947,
     IF(J$31="0.20",0.916,1))))</f>
        <v>1</v>
      </c>
      <c r="R37" s="164">
        <f>IF(K$31="0.00",1,
   IF(K$31="0.05",0.97,
    IF(K$31="0.10",0.947,
     IF(K$31="0.20",0.916,1))))</f>
        <v>1</v>
      </c>
      <c r="S37" s="164">
        <f>IF(L$31="0.00",1,
   IF(L$31="0.05",0.97,
    IF(L$31="0.10",0.947,
     IF(L$31="0.20",0.916,1))))</f>
        <v>1</v>
      </c>
      <c r="T37" s="164">
        <f>IF(M$31="0.00",1,
   IF(M$31="0.05",0.97,
    IF(M$31="0.10",0.947,
     IF(M$31="0.20",0.916,1))))</f>
        <v>1</v>
      </c>
      <c r="U37" s="164">
        <f>IF(N$31="0.00",1,
   IF(N$31="0.05",0.97,
    IF(N$31="0.10",0.947,
     IF(N$31="0.20",0.916,1))))</f>
        <v>1</v>
      </c>
      <c r="V37" s="65"/>
      <c r="W37" s="4"/>
      <c r="X37" s="164">
        <f t="shared" si="10"/>
        <v>1</v>
      </c>
      <c r="Y37" s="164">
        <f t="shared" si="11"/>
        <v>1</v>
      </c>
      <c r="Z37" s="164">
        <f t="shared" si="11"/>
        <v>1</v>
      </c>
      <c r="AA37" s="164">
        <f t="shared" si="11"/>
        <v>1</v>
      </c>
      <c r="AB37" s="164">
        <f t="shared" si="11"/>
        <v>1</v>
      </c>
      <c r="AC37" s="65"/>
      <c r="AD37" s="4"/>
    </row>
    <row r="38" spans="1:31" ht="15.6" hidden="1" customHeight="1" outlineLevel="2" x14ac:dyDescent="0.3">
      <c r="A38" s="166" t="str">
        <f>IF($O$1="de","Faktor für Wb",
IF($O$1="fr","Facteur pour Wb",
IF($O$1="it","Fattore per Wb",
IF($O$1="en","Factor for Wb","select language in cell N1"))))</f>
        <v>Faktor für Wb</v>
      </c>
      <c r="B38" s="167" t="s">
        <v>201</v>
      </c>
      <c r="C38" s="167"/>
      <c r="D38" s="300" t="s">
        <v>99</v>
      </c>
      <c r="E38" s="300"/>
      <c r="F38" s="300"/>
      <c r="G38" s="300"/>
      <c r="H38" s="300"/>
      <c r="I38" s="300"/>
      <c r="P38" s="4"/>
      <c r="Q38" s="163">
        <f>Q35*Q36*Q37</f>
        <v>1</v>
      </c>
      <c r="R38" s="163">
        <f t="shared" ref="R38" si="12">R35*R36*R37</f>
        <v>1</v>
      </c>
      <c r="S38" s="163">
        <f t="shared" ref="S38:U38" si="13">S35*S36*S37</f>
        <v>1</v>
      </c>
      <c r="T38" s="163">
        <f t="shared" si="13"/>
        <v>1</v>
      </c>
      <c r="U38" s="163">
        <f t="shared" si="13"/>
        <v>1</v>
      </c>
      <c r="V38" s="65"/>
      <c r="W38" s="4"/>
      <c r="X38" s="163">
        <f>X35*X36*X37</f>
        <v>1</v>
      </c>
      <c r="Y38" s="163">
        <f t="shared" ref="Y38" si="14">Y35*Y36*Y37</f>
        <v>1</v>
      </c>
      <c r="Z38" s="163">
        <f t="shared" ref="Z38:AB38" si="15">Z35*Z36*Z37</f>
        <v>1</v>
      </c>
      <c r="AA38" s="163">
        <f t="shared" si="15"/>
        <v>1</v>
      </c>
      <c r="AB38" s="163">
        <f t="shared" si="15"/>
        <v>1</v>
      </c>
      <c r="AC38" s="65"/>
      <c r="AD38" s="4"/>
    </row>
    <row r="39" spans="1:31" ht="15.6" hidden="1" customHeight="1" outlineLevel="2" x14ac:dyDescent="0.3">
      <c r="A39" s="168" t="str">
        <f>IF($O$1="de","Teilfaktor für YW185 aus Dienstgewichtabweichung",
IF($O$1="fr","Facteur partiel pour YW185 issu de la variation du poids de service",
IF($O$1="it","Fattore parziale per YW185 da scostamento peso in servizio",
IF($O$1="en","Sub-factor for YW185 from service weight deviation","select language in cell N1"))))</f>
        <v>Teilfaktor für YW185 aus Dienstgewichtabweichung</v>
      </c>
      <c r="B39" s="169" t="s">
        <v>202</v>
      </c>
      <c r="C39" s="169"/>
      <c r="D39" s="299"/>
      <c r="E39" s="299"/>
      <c r="F39" s="299"/>
      <c r="G39" s="299"/>
      <c r="H39" s="299"/>
      <c r="I39" s="299"/>
      <c r="P39" s="4"/>
      <c r="Q39" s="164">
        <f>IF(J$26="1%",0.995,
   IF(J$26="2.5%",0.9875,
    IF(J$26="5%",0.975,1)))</f>
        <v>1</v>
      </c>
      <c r="R39" s="164">
        <f>IF(K$26="1%",0.995,
   IF(K$26="2.5%",0.9875,
    IF(K$26="5%",0.975,1)))</f>
        <v>1</v>
      </c>
      <c r="S39" s="164">
        <f>IF(L$26="1%",0.995,
   IF(L$26="2.5%",0.9875,
    IF(L$26="5%",0.975,1)))</f>
        <v>1</v>
      </c>
      <c r="T39" s="164">
        <f>IF(M$26="1%",0.995,
   IF(M$26="2.5%",0.9875,
    IF(M$26="5%",0.975,1)))</f>
        <v>1</v>
      </c>
      <c r="U39" s="164">
        <f>IF(N$26="1%",0.995,
   IF(N$26="2.5%",0.9875,
    IF(N$26="5%",0.975,1)))</f>
        <v>1</v>
      </c>
      <c r="V39" s="66"/>
      <c r="W39" s="4"/>
      <c r="X39" s="164">
        <f t="shared" si="10"/>
        <v>1</v>
      </c>
      <c r="Y39" s="164">
        <f t="shared" ref="Y39:AB43" si="16">2-R39</f>
        <v>1</v>
      </c>
      <c r="Z39" s="164">
        <f t="shared" si="16"/>
        <v>1</v>
      </c>
      <c r="AA39" s="164">
        <f t="shared" si="16"/>
        <v>1</v>
      </c>
      <c r="AB39" s="164">
        <f t="shared" si="16"/>
        <v>1</v>
      </c>
      <c r="AC39" s="66"/>
      <c r="AD39" s="4"/>
    </row>
    <row r="40" spans="1:31" ht="15.6" hidden="1" customHeight="1" outlineLevel="2" x14ac:dyDescent="0.3">
      <c r="A40" s="168" t="str">
        <f>IF($O$1="de","Teilfaktor für YW185 aus Radsatzführung",
IF($O$1="fr","Facteur partiel pour YW185 issu de la direction de l'essieu",
IF($O$1="it","Fattore parziale per YW185 da guida degli assi",
IF($O$1="en","Sub-factor for YW185 from wheelset guidance","select language in cell N1"))))</f>
        <v>Teilfaktor für YW185 aus Radsatzführung</v>
      </c>
      <c r="B40" s="169" t="s">
        <v>203</v>
      </c>
      <c r="C40" s="169"/>
      <c r="D40" s="299"/>
      <c r="E40" s="299"/>
      <c r="F40" s="299"/>
      <c r="G40" s="299"/>
      <c r="H40" s="299"/>
      <c r="I40" s="299"/>
      <c r="P40" s="4"/>
      <c r="Q40" s="164">
        <f>IF(J$28="40 kN/mm",1,
   IF(J$28="20 kN/mm",1,
    IF(J$28="10 kN/mm",1,
     IF(J$28="5 kN/mm",0.992,1))))</f>
        <v>1</v>
      </c>
      <c r="R40" s="164">
        <f>IF(K$28="40 kN/mm",1,
   IF(K$28="20 kN/mm",1,
    IF(K$28="10 kN/mm",1,
     IF(K$28="5 kN/mm",0.992,1))))</f>
        <v>1</v>
      </c>
      <c r="S40" s="164">
        <f>IF(L$28="40 kN/mm",1,
   IF(L$28="20 kN/mm",1,
    IF(L$28="10 kN/mm",1,
     IF(L$28="5 kN/mm",0.992,1))))</f>
        <v>1</v>
      </c>
      <c r="T40" s="164">
        <f>IF(M$28="40 kN/mm",1,
   IF(M$28="20 kN/mm",1,
    IF(M$28="10 kN/mm",1,
     IF(M$28="5 kN/mm",0.992,1))))</f>
        <v>1</v>
      </c>
      <c r="U40" s="164">
        <f>IF(N$28="40 kN/mm",1,
   IF(N$28="20 kN/mm",1,
    IF(N$28="10 kN/mm",1,
     IF(N$28="5 kN/mm",0.992,1))))</f>
        <v>1</v>
      </c>
      <c r="V40" s="66"/>
      <c r="W40" s="4"/>
      <c r="X40" s="164">
        <f t="shared" si="10"/>
        <v>1</v>
      </c>
      <c r="Y40" s="164">
        <f t="shared" si="16"/>
        <v>1</v>
      </c>
      <c r="Z40" s="164">
        <f t="shared" si="16"/>
        <v>1</v>
      </c>
      <c r="AA40" s="164">
        <f t="shared" si="16"/>
        <v>1</v>
      </c>
      <c r="AB40" s="164">
        <f t="shared" si="16"/>
        <v>1</v>
      </c>
      <c r="AC40" s="66"/>
      <c r="AD40" s="4"/>
    </row>
    <row r="41" spans="1:31" ht="15.6" hidden="1" customHeight="1" outlineLevel="2" x14ac:dyDescent="0.3">
      <c r="A41" s="168" t="str">
        <f>IF($O$1="de","Teilfaktor für YW185 aus Schlingerdämpfung",
IF($O$1="fr","Facteur partiel pour YW185 issu de l'amortissement anti-lacet",
IF($O$1="it","Fattore parziale per YW185 da ammortizzazione antiserpeggio",
IF($O$1="en","Sub-factor for YW185 from yaw damping","select language in cell N1"))))</f>
        <v>Teilfaktor für YW185 aus Schlingerdämpfung</v>
      </c>
      <c r="B41" s="169" t="s">
        <v>204</v>
      </c>
      <c r="C41" s="169"/>
      <c r="D41" s="299"/>
      <c r="E41" s="299"/>
      <c r="F41" s="299"/>
      <c r="G41" s="299"/>
      <c r="H41" s="299"/>
      <c r="I41" s="299"/>
      <c r="P41" s="4"/>
      <c r="Q41" s="164">
        <f>IF(J$29="0%",1,
    IF(J$29="20%",0.974,1))</f>
        <v>1</v>
      </c>
      <c r="R41" s="164">
        <f>IF(K$29="0%",1,
    IF(K$29="20%",0.974,1))</f>
        <v>1</v>
      </c>
      <c r="S41" s="164">
        <f>IF(L$29="0%",1,
    IF(L$29="20%",0.974,1))</f>
        <v>1</v>
      </c>
      <c r="T41" s="164">
        <f>IF(M$29="0%",1,
    IF(M$29="20%",0.974,1))</f>
        <v>1</v>
      </c>
      <c r="U41" s="164">
        <f>IF(N$29="0%",1,
    IF(N$29="20%",0.974,1))</f>
        <v>1</v>
      </c>
      <c r="V41" s="66"/>
      <c r="W41" s="4"/>
      <c r="X41" s="164">
        <f t="shared" si="10"/>
        <v>1</v>
      </c>
      <c r="Y41" s="164">
        <f t="shared" si="16"/>
        <v>1</v>
      </c>
      <c r="Z41" s="164">
        <f t="shared" si="16"/>
        <v>1</v>
      </c>
      <c r="AA41" s="164">
        <f t="shared" si="16"/>
        <v>1</v>
      </c>
      <c r="AB41" s="164">
        <f t="shared" si="16"/>
        <v>1</v>
      </c>
      <c r="AC41" s="66"/>
      <c r="AD41" s="4"/>
    </row>
    <row r="42" spans="1:31" ht="15.6" hidden="1" customHeight="1" outlineLevel="2" x14ac:dyDescent="0.3">
      <c r="A42" s="168" t="str">
        <f>IF($O$1="de","Teilfaktor für YW185 aus Massenträgheitsmoment",
IF($O$1="fr","Facteur partiel pour YW185 issu du moment d'inertie de masse",
IF($O$1="it","Fattore parziale per YW185 da momento di inerzia di massa",
IF($O$1="en","Sub-factor for YW185 from mass moment of inertia","select language in cell N1"))))</f>
        <v>Teilfaktor für YW185 aus Massenträgheitsmoment</v>
      </c>
      <c r="B42" s="169" t="s">
        <v>205</v>
      </c>
      <c r="C42" s="169"/>
      <c r="D42" s="299"/>
      <c r="E42" s="299"/>
      <c r="F42" s="299"/>
      <c r="G42" s="299"/>
      <c r="H42" s="299"/>
      <c r="I42" s="299"/>
      <c r="P42" s="4"/>
      <c r="Q42" s="164">
        <f>IF(J$30="20%",0.9886,
    IF(J$30="40%",0.9834,1))</f>
        <v>1</v>
      </c>
      <c r="R42" s="164">
        <f>IF(K$30="20%",0.9886,
    IF(K$30="40%",0.9834,1))</f>
        <v>1</v>
      </c>
      <c r="S42" s="164">
        <f>IF(L$30="20%",0.9886,
    IF(L$30="40%",0.9834,1))</f>
        <v>1</v>
      </c>
      <c r="T42" s="164">
        <f>IF(M$30="20%",0.9886,
    IF(M$30="40%",0.9834,1))</f>
        <v>1</v>
      </c>
      <c r="U42" s="164">
        <f>IF(N$30="20%",0.9886,
    IF(N$30="40%",0.9834,1))</f>
        <v>1</v>
      </c>
      <c r="V42" s="66"/>
      <c r="W42" s="4"/>
      <c r="X42" s="164">
        <f t="shared" si="10"/>
        <v>1</v>
      </c>
      <c r="Y42" s="164">
        <f t="shared" si="16"/>
        <v>1</v>
      </c>
      <c r="Z42" s="164">
        <f t="shared" si="16"/>
        <v>1</v>
      </c>
      <c r="AA42" s="164">
        <f t="shared" si="16"/>
        <v>1</v>
      </c>
      <c r="AB42" s="164">
        <f t="shared" si="16"/>
        <v>1</v>
      </c>
      <c r="AC42" s="66"/>
      <c r="AD42" s="4"/>
    </row>
    <row r="43" spans="1:31" ht="15.6" hidden="1" customHeight="1" outlineLevel="2" x14ac:dyDescent="0.3">
      <c r="A43" s="168" t="str">
        <f>IF($O$1="de","Teilfaktor für YW185 aus Reibelemente",
IF($O$1="fr","Facteur partiel pour YW185 issu des éléments de friction",
IF($O$1="it","Fattore parziale per YW185 da elementi di frizione",
IF($O$1="en","Sub-factor for YW185 from frictional elements","select language in cell N1"))))</f>
        <v>Teilfaktor für YW185 aus Reibelemente</v>
      </c>
      <c r="B43" s="169" t="s">
        <v>206</v>
      </c>
      <c r="C43" s="169"/>
      <c r="D43" s="299"/>
      <c r="E43" s="299"/>
      <c r="F43" s="299"/>
      <c r="G43" s="299"/>
      <c r="H43" s="299"/>
      <c r="I43" s="299"/>
      <c r="P43" s="4"/>
      <c r="Q43" s="164">
        <f>IF(J$31="0.00",1,
   IF(J$31="0.05",0.9573,
    IF(J$31="0.10",0.9298,
     IF(J$31="0.20",0.9072,1))))</f>
        <v>1</v>
      </c>
      <c r="R43" s="164">
        <f>IF(K$31="0.00",1,
   IF(K$31="0.05",0.9573,
    IF(K$31="0.10",0.9298,
     IF(K$31="0.20",0.9072,1))))</f>
        <v>1</v>
      </c>
      <c r="S43" s="164">
        <f>IF(L$31="0.00",1,
   IF(L$31="0.05",0.9573,
    IF(L$31="0.10",0.9298,
     IF(L$31="0.20",0.9072,1))))</f>
        <v>1</v>
      </c>
      <c r="T43" s="164">
        <f>IF(M$31="0.00",1,
   IF(M$31="0.05",0.9573,
    IF(M$31="0.10",0.9298,
     IF(M$31="0.20",0.9072,1))))</f>
        <v>1</v>
      </c>
      <c r="U43" s="164">
        <f>IF(N$31="0.00",1,
   IF(N$31="0.05",0.9573,
    IF(N$31="0.10",0.9298,
     IF(N$31="0.20",0.9072,1))))</f>
        <v>1</v>
      </c>
      <c r="V43" s="66"/>
      <c r="W43" s="4"/>
      <c r="X43" s="164">
        <f t="shared" si="10"/>
        <v>1</v>
      </c>
      <c r="Y43" s="164">
        <f t="shared" si="16"/>
        <v>1</v>
      </c>
      <c r="Z43" s="164">
        <f t="shared" si="16"/>
        <v>1</v>
      </c>
      <c r="AA43" s="164">
        <f t="shared" si="16"/>
        <v>1</v>
      </c>
      <c r="AB43" s="164">
        <f t="shared" si="16"/>
        <v>1</v>
      </c>
      <c r="AC43" s="66"/>
      <c r="AD43" s="4"/>
    </row>
    <row r="44" spans="1:31" ht="15.6" hidden="1" customHeight="1" outlineLevel="2" x14ac:dyDescent="0.3">
      <c r="A44" s="166" t="str">
        <f>IF($O$1="de","Faktor für YW185",
IF($O$1="fr","Facteur pour  YW185",
IF($O$1="it","Fattore per YW185",
IF($O$1="en","Factor for YW185","select language in cell N1"))))</f>
        <v>Faktor für YW185</v>
      </c>
      <c r="B44" s="167" t="s">
        <v>207</v>
      </c>
      <c r="C44" s="167"/>
      <c r="D44" s="300" t="s">
        <v>160</v>
      </c>
      <c r="E44" s="300"/>
      <c r="F44" s="300"/>
      <c r="G44" s="300"/>
      <c r="H44" s="300"/>
      <c r="I44" s="300"/>
      <c r="P44" s="4"/>
      <c r="Q44" s="163">
        <f>Q39*Q40*Q41*Q42*Q43</f>
        <v>1</v>
      </c>
      <c r="R44" s="163">
        <f t="shared" ref="R44" si="17">R39*R40*R41*R42*R43</f>
        <v>1</v>
      </c>
      <c r="S44" s="163">
        <f t="shared" ref="S44:U44" si="18">S39*S40*S41*S42*S43</f>
        <v>1</v>
      </c>
      <c r="T44" s="163">
        <f t="shared" si="18"/>
        <v>1</v>
      </c>
      <c r="U44" s="163">
        <f t="shared" si="18"/>
        <v>1</v>
      </c>
      <c r="V44" s="66"/>
      <c r="W44" s="4"/>
      <c r="X44" s="163">
        <f>X39*X40*X41*X42*X43</f>
        <v>1</v>
      </c>
      <c r="Y44" s="163">
        <f t="shared" ref="Y44" si="19">Y39*Y40*Y41*Y42*Y43</f>
        <v>1</v>
      </c>
      <c r="Z44" s="163">
        <f t="shared" ref="Z44:AB44" si="20">Z39*Z40*Z41*Z42*Z43</f>
        <v>1</v>
      </c>
      <c r="AA44" s="163">
        <f t="shared" si="20"/>
        <v>1</v>
      </c>
      <c r="AB44" s="163">
        <f t="shared" si="20"/>
        <v>1</v>
      </c>
      <c r="AC44" s="66"/>
      <c r="AD44" s="4"/>
    </row>
    <row r="45" spans="1:31" ht="13.15" customHeight="1" x14ac:dyDescent="0.2">
      <c r="A45" s="93"/>
      <c r="B45" s="93"/>
      <c r="C45" s="93"/>
      <c r="D45" s="93"/>
      <c r="E45" s="93"/>
      <c r="F45" s="93"/>
      <c r="G45" s="93"/>
      <c r="H45" s="93"/>
      <c r="I45" s="93"/>
      <c r="J45" s="301"/>
      <c r="K45" s="301"/>
      <c r="L45" s="301"/>
      <c r="M45" s="301"/>
      <c r="N45" s="301"/>
      <c r="P45" s="4"/>
      <c r="Q45" s="301"/>
      <c r="R45" s="301"/>
      <c r="S45" s="301"/>
      <c r="T45" s="301"/>
      <c r="U45" s="301"/>
      <c r="V45" s="66"/>
      <c r="W45" s="4"/>
      <c r="X45" s="301"/>
      <c r="Y45" s="301"/>
      <c r="Z45" s="301"/>
      <c r="AA45" s="301"/>
      <c r="AB45" s="301"/>
      <c r="AC45" s="66"/>
      <c r="AD45" s="4"/>
      <c r="AE45" s="3"/>
    </row>
    <row r="46" spans="1:31" s="63" customFormat="1" ht="18" collapsed="1" x14ac:dyDescent="0.25">
      <c r="A46" s="67" t="str">
        <f>IF($O$1="de","Berechnung der Interaktionsgrössen",
IF($O$1="fr","Calcul des grandeurs d'interaction",
IF($O$1="it","Calcolo delle grandezze di interazione",
IF($O$1="en","Calculation of interaction variables","select language in cell N1"))))</f>
        <v>Berechnung der Interaktionsgrössen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9"/>
      <c r="O46" s="69"/>
      <c r="P46" s="62"/>
      <c r="Q46" s="170"/>
      <c r="R46" s="170"/>
      <c r="S46" s="170"/>
      <c r="T46" s="170"/>
      <c r="U46" s="170"/>
      <c r="V46" s="66"/>
      <c r="W46" s="62"/>
      <c r="X46" s="170"/>
      <c r="Y46" s="170"/>
      <c r="Z46" s="170"/>
      <c r="AA46" s="170"/>
      <c r="AB46" s="170"/>
      <c r="AC46" s="66"/>
      <c r="AD46" s="62"/>
    </row>
    <row r="47" spans="1:31" ht="27" hidden="1" customHeight="1" outlineLevel="1" x14ac:dyDescent="0.3">
      <c r="A47" s="11" t="str">
        <f>IF($O$1="de","Koeffizient a für dynamische Radkraft",
IF($O$1="fr","Coefficient a pour les forces de roues dynamiques",
IF($O$1="it","Coefficiente a per forza dinamica alla ruota",
IF($O$1="en","Coefficient a for dynamic wheel force","select language in cell N1"))))</f>
        <v>Koeffizient a für dynamische Radkraft</v>
      </c>
      <c r="B47" s="11" t="s">
        <v>35</v>
      </c>
      <c r="C47" s="11"/>
      <c r="D47" s="290"/>
      <c r="E47" s="291"/>
      <c r="F47" s="291"/>
      <c r="G47" s="291"/>
      <c r="H47" s="291"/>
      <c r="I47" s="292"/>
      <c r="J47" s="73">
        <f>0.0437445*J17*((SQRT(J17+245)-5.52591)/(J17+245))</f>
        <v>0</v>
      </c>
      <c r="K47" s="73">
        <f>0.0437445*K17*((SQRT(K17+245)-5.52591)/(K17+245))</f>
        <v>0</v>
      </c>
      <c r="L47" s="73">
        <f>0.0437445*L17*((SQRT(L17+245)-5.52591)/(L17+245))</f>
        <v>0</v>
      </c>
      <c r="M47" s="73">
        <f>0.0437445*M17*((SQRT(M17+245)-5.52591)/(M17+245))</f>
        <v>0</v>
      </c>
      <c r="N47" s="73">
        <f>0.0437445*N17*((SQRT(N17+245)-5.52591)/(N17+245))</f>
        <v>0</v>
      </c>
      <c r="O47" s="74"/>
      <c r="P47" s="75"/>
      <c r="Q47" s="171">
        <f>0.0437445*Q17*((SQRT(Q17+245)-5.52591)/(Q17+245))</f>
        <v>0</v>
      </c>
      <c r="R47" s="171">
        <f>0.0437445*R17*((SQRT(R17+245)-5.52591)/(R17+245))</f>
        <v>0</v>
      </c>
      <c r="S47" s="171">
        <f>0.0437445*S17*((SQRT(S17+245)-5.52591)/(S17+245))</f>
        <v>0</v>
      </c>
      <c r="T47" s="171">
        <f>0.0437445*T17*((SQRT(T17+245)-5.52591)/(T17+245))</f>
        <v>0</v>
      </c>
      <c r="U47" s="171">
        <f>0.0437445*U17*((SQRT(U17+245)-5.52591)/(U17+245))</f>
        <v>0</v>
      </c>
      <c r="W47" s="4"/>
      <c r="X47" s="171">
        <f>0.0437445*X17*((SQRT(X17+245)-5.52591)/(X17+245))</f>
        <v>0</v>
      </c>
      <c r="Y47" s="171">
        <f>0.0437445*Y17*((SQRT(Y17+245)-5.52591)/(Y17+245))</f>
        <v>0</v>
      </c>
      <c r="Z47" s="171">
        <f>0.0437445*Z17*((SQRT(Z17+245)-5.52591)/(Z17+245))</f>
        <v>0</v>
      </c>
      <c r="AA47" s="171">
        <f>0.0437445*AA17*((SQRT(AA17+245)-5.52591)/(AA17+245))</f>
        <v>0</v>
      </c>
      <c r="AB47" s="171">
        <f>0.0437445*AB17*((SQRT(AB17+245)-5.52591)/(AB17+245))</f>
        <v>0</v>
      </c>
      <c r="AD47" s="4"/>
    </row>
    <row r="48" spans="1:31" ht="16.5" hidden="1" outlineLevel="1" thickBot="1" x14ac:dyDescent="0.35">
      <c r="A48" s="13" t="str">
        <f>IF($O$1="de","Koeffizient b für dynamische Radkraft",
IF($O$1="fr","Coefficient b pour les forces de roues dynamiques",
IF($O$1="it","Coefficiente b per forza dinamica alla ruota",
IF($O$1="en","Coefficient b for dynamic wheel force","select language in cell N1"))))</f>
        <v>Koeffizient b für dynamische Radkraft</v>
      </c>
      <c r="B48" s="13" t="s">
        <v>34</v>
      </c>
      <c r="C48" s="13"/>
      <c r="D48" s="285" t="s">
        <v>42</v>
      </c>
      <c r="E48" s="286"/>
      <c r="F48" s="286"/>
      <c r="G48" s="286"/>
      <c r="H48" s="286"/>
      <c r="I48" s="287"/>
      <c r="J48" s="76">
        <f>J16</f>
        <v>0</v>
      </c>
      <c r="K48" s="76">
        <f>K16</f>
        <v>0</v>
      </c>
      <c r="L48" s="76">
        <f>L16</f>
        <v>0</v>
      </c>
      <c r="M48" s="76">
        <f>M16</f>
        <v>0</v>
      </c>
      <c r="N48" s="76">
        <f>N16</f>
        <v>0</v>
      </c>
      <c r="O48" s="74"/>
      <c r="P48" s="75"/>
      <c r="Q48" s="173">
        <f>Q16</f>
        <v>0</v>
      </c>
      <c r="R48" s="173">
        <f>R16</f>
        <v>0</v>
      </c>
      <c r="S48" s="173">
        <f>S16</f>
        <v>0</v>
      </c>
      <c r="T48" s="173">
        <f>T16</f>
        <v>0</v>
      </c>
      <c r="U48" s="173">
        <f>U16</f>
        <v>0</v>
      </c>
      <c r="W48" s="4"/>
      <c r="X48" s="173">
        <f>X16</f>
        <v>0</v>
      </c>
      <c r="Y48" s="173">
        <f>Y16</f>
        <v>0</v>
      </c>
      <c r="Z48" s="173">
        <f>Z16</f>
        <v>0</v>
      </c>
      <c r="AA48" s="173">
        <f>AA16</f>
        <v>0</v>
      </c>
      <c r="AB48" s="173">
        <f>AB16</f>
        <v>0</v>
      </c>
      <c r="AD48" s="4"/>
    </row>
    <row r="49" spans="1:35" ht="15.75" hidden="1" outlineLevel="1" x14ac:dyDescent="0.3">
      <c r="A49" s="207">
        <f>O10</f>
        <v>40</v>
      </c>
      <c r="B49" s="131" t="s">
        <v>146</v>
      </c>
      <c r="C49" s="131" t="s">
        <v>26</v>
      </c>
      <c r="D49" s="293" t="s">
        <v>147</v>
      </c>
      <c r="E49" s="294"/>
      <c r="F49" s="294"/>
      <c r="G49" s="294"/>
      <c r="H49" s="294"/>
      <c r="I49" s="295"/>
      <c r="J49" s="14">
        <f>J$47*$A49+J$48</f>
        <v>0</v>
      </c>
      <c r="K49" s="14">
        <f t="shared" ref="K49:N49" si="21">K$47*$A49+K$48</f>
        <v>0</v>
      </c>
      <c r="L49" s="14">
        <f t="shared" si="21"/>
        <v>0</v>
      </c>
      <c r="M49" s="14">
        <f t="shared" si="21"/>
        <v>0</v>
      </c>
      <c r="N49" s="14">
        <f t="shared" si="21"/>
        <v>0</v>
      </c>
      <c r="O49" s="74"/>
      <c r="P49" s="75"/>
      <c r="Q49" s="172">
        <f t="shared" ref="Q49:U49" si="22">Q$47*$A49+Q$48</f>
        <v>0</v>
      </c>
      <c r="R49" s="172">
        <f t="shared" si="22"/>
        <v>0</v>
      </c>
      <c r="S49" s="172">
        <f t="shared" si="22"/>
        <v>0</v>
      </c>
      <c r="T49" s="172">
        <f t="shared" si="22"/>
        <v>0</v>
      </c>
      <c r="U49" s="172">
        <f t="shared" si="22"/>
        <v>0</v>
      </c>
      <c r="W49" s="4"/>
      <c r="X49" s="172">
        <f t="shared" ref="X49:AB55" si="23">X$47*$A49+X$48</f>
        <v>0</v>
      </c>
      <c r="Y49" s="172">
        <f t="shared" si="23"/>
        <v>0</v>
      </c>
      <c r="Z49" s="172">
        <f t="shared" si="23"/>
        <v>0</v>
      </c>
      <c r="AA49" s="172">
        <f t="shared" si="23"/>
        <v>0</v>
      </c>
      <c r="AB49" s="172">
        <f t="shared" si="23"/>
        <v>0</v>
      </c>
      <c r="AD49" s="4"/>
    </row>
    <row r="50" spans="1:35" ht="15.75" hidden="1" outlineLevel="1" x14ac:dyDescent="0.3">
      <c r="A50" s="207">
        <v>75</v>
      </c>
      <c r="B50" s="11" t="s">
        <v>32</v>
      </c>
      <c r="C50" s="11" t="s">
        <v>26</v>
      </c>
      <c r="D50" s="296" t="s">
        <v>82</v>
      </c>
      <c r="E50" s="297"/>
      <c r="F50" s="297"/>
      <c r="G50" s="297"/>
      <c r="H50" s="297"/>
      <c r="I50" s="298"/>
      <c r="J50" s="73">
        <f t="shared" ref="J50:U55" si="24">J$47*$A50+J$48</f>
        <v>0</v>
      </c>
      <c r="K50" s="73">
        <f t="shared" si="24"/>
        <v>0</v>
      </c>
      <c r="L50" s="73">
        <f t="shared" si="24"/>
        <v>0</v>
      </c>
      <c r="M50" s="73">
        <f t="shared" si="24"/>
        <v>0</v>
      </c>
      <c r="N50" s="73">
        <f t="shared" si="24"/>
        <v>0</v>
      </c>
      <c r="O50" s="74"/>
      <c r="P50" s="75"/>
      <c r="Q50" s="171">
        <f t="shared" si="24"/>
        <v>0</v>
      </c>
      <c r="R50" s="171">
        <f t="shared" si="24"/>
        <v>0</v>
      </c>
      <c r="S50" s="171">
        <f t="shared" si="24"/>
        <v>0</v>
      </c>
      <c r="T50" s="171">
        <f t="shared" si="24"/>
        <v>0</v>
      </c>
      <c r="U50" s="171">
        <f t="shared" si="24"/>
        <v>0</v>
      </c>
      <c r="W50" s="4"/>
      <c r="X50" s="171">
        <f t="shared" si="23"/>
        <v>0</v>
      </c>
      <c r="Y50" s="171">
        <f t="shared" si="23"/>
        <v>0</v>
      </c>
      <c r="Z50" s="171">
        <f t="shared" si="23"/>
        <v>0</v>
      </c>
      <c r="AA50" s="171">
        <f t="shared" si="23"/>
        <v>0</v>
      </c>
      <c r="AB50" s="171">
        <f t="shared" si="23"/>
        <v>0</v>
      </c>
      <c r="AD50" s="4"/>
    </row>
    <row r="51" spans="1:35" ht="15.75" hidden="1" outlineLevel="1" x14ac:dyDescent="0.3">
      <c r="A51" s="207">
        <v>90</v>
      </c>
      <c r="B51" s="11" t="s">
        <v>31</v>
      </c>
      <c r="C51" s="11" t="s">
        <v>26</v>
      </c>
      <c r="D51" s="270" t="s">
        <v>83</v>
      </c>
      <c r="E51" s="271"/>
      <c r="F51" s="271"/>
      <c r="G51" s="271"/>
      <c r="H51" s="271"/>
      <c r="I51" s="272"/>
      <c r="J51" s="73">
        <f t="shared" si="24"/>
        <v>0</v>
      </c>
      <c r="K51" s="73">
        <f t="shared" si="24"/>
        <v>0</v>
      </c>
      <c r="L51" s="73">
        <f t="shared" si="24"/>
        <v>0</v>
      </c>
      <c r="M51" s="73">
        <f t="shared" si="24"/>
        <v>0</v>
      </c>
      <c r="N51" s="73">
        <f t="shared" si="24"/>
        <v>0</v>
      </c>
      <c r="O51" s="74"/>
      <c r="P51" s="75"/>
      <c r="Q51" s="171">
        <f t="shared" si="24"/>
        <v>0</v>
      </c>
      <c r="R51" s="171">
        <f t="shared" si="24"/>
        <v>0</v>
      </c>
      <c r="S51" s="171">
        <f t="shared" si="24"/>
        <v>0</v>
      </c>
      <c r="T51" s="171">
        <f t="shared" si="24"/>
        <v>0</v>
      </c>
      <c r="U51" s="171">
        <f t="shared" si="24"/>
        <v>0</v>
      </c>
      <c r="W51" s="4"/>
      <c r="X51" s="171">
        <f t="shared" si="23"/>
        <v>0</v>
      </c>
      <c r="Y51" s="171">
        <f t="shared" si="23"/>
        <v>0</v>
      </c>
      <c r="Z51" s="171">
        <f t="shared" si="23"/>
        <v>0</v>
      </c>
      <c r="AA51" s="171">
        <f t="shared" si="23"/>
        <v>0</v>
      </c>
      <c r="AB51" s="171">
        <f t="shared" si="23"/>
        <v>0</v>
      </c>
      <c r="AD51" s="4"/>
    </row>
    <row r="52" spans="1:35" ht="15.75" hidden="1" outlineLevel="1" x14ac:dyDescent="0.3">
      <c r="A52" s="207">
        <v>110</v>
      </c>
      <c r="B52" s="11" t="s">
        <v>30</v>
      </c>
      <c r="C52" s="11" t="s">
        <v>26</v>
      </c>
      <c r="D52" s="270" t="s">
        <v>84</v>
      </c>
      <c r="E52" s="271"/>
      <c r="F52" s="271"/>
      <c r="G52" s="271"/>
      <c r="H52" s="271"/>
      <c r="I52" s="272"/>
      <c r="J52" s="73">
        <f t="shared" si="24"/>
        <v>0</v>
      </c>
      <c r="K52" s="73">
        <f t="shared" si="24"/>
        <v>0</v>
      </c>
      <c r="L52" s="73">
        <f t="shared" si="24"/>
        <v>0</v>
      </c>
      <c r="M52" s="73">
        <f t="shared" si="24"/>
        <v>0</v>
      </c>
      <c r="N52" s="73">
        <f t="shared" si="24"/>
        <v>0</v>
      </c>
      <c r="O52" s="74"/>
      <c r="P52" s="75"/>
      <c r="Q52" s="171">
        <f t="shared" si="24"/>
        <v>0</v>
      </c>
      <c r="R52" s="171">
        <f t="shared" si="24"/>
        <v>0</v>
      </c>
      <c r="S52" s="171">
        <f t="shared" si="24"/>
        <v>0</v>
      </c>
      <c r="T52" s="171">
        <f t="shared" si="24"/>
        <v>0</v>
      </c>
      <c r="U52" s="171">
        <f t="shared" si="24"/>
        <v>0</v>
      </c>
      <c r="W52" s="4"/>
      <c r="X52" s="171">
        <f t="shared" si="23"/>
        <v>0</v>
      </c>
      <c r="Y52" s="171">
        <f t="shared" si="23"/>
        <v>0</v>
      </c>
      <c r="Z52" s="171">
        <f t="shared" si="23"/>
        <v>0</v>
      </c>
      <c r="AA52" s="171">
        <f t="shared" si="23"/>
        <v>0</v>
      </c>
      <c r="AB52" s="171">
        <f t="shared" si="23"/>
        <v>0</v>
      </c>
      <c r="AD52" s="4"/>
    </row>
    <row r="53" spans="1:35" ht="15.75" hidden="1" outlineLevel="1" x14ac:dyDescent="0.3">
      <c r="A53" s="207">
        <v>130</v>
      </c>
      <c r="B53" s="11" t="s">
        <v>29</v>
      </c>
      <c r="C53" s="11" t="s">
        <v>26</v>
      </c>
      <c r="D53" s="270" t="s">
        <v>85</v>
      </c>
      <c r="E53" s="271"/>
      <c r="F53" s="271"/>
      <c r="G53" s="271"/>
      <c r="H53" s="271"/>
      <c r="I53" s="272"/>
      <c r="J53" s="73">
        <f t="shared" si="24"/>
        <v>0</v>
      </c>
      <c r="K53" s="73">
        <f t="shared" si="24"/>
        <v>0</v>
      </c>
      <c r="L53" s="73">
        <f t="shared" si="24"/>
        <v>0</v>
      </c>
      <c r="M53" s="73">
        <f t="shared" si="24"/>
        <v>0</v>
      </c>
      <c r="N53" s="73">
        <f t="shared" si="24"/>
        <v>0</v>
      </c>
      <c r="O53" s="74"/>
      <c r="P53" s="75"/>
      <c r="Q53" s="171">
        <f t="shared" si="24"/>
        <v>0</v>
      </c>
      <c r="R53" s="171">
        <f t="shared" si="24"/>
        <v>0</v>
      </c>
      <c r="S53" s="171">
        <f t="shared" si="24"/>
        <v>0</v>
      </c>
      <c r="T53" s="171">
        <f t="shared" si="24"/>
        <v>0</v>
      </c>
      <c r="U53" s="171">
        <f t="shared" si="24"/>
        <v>0</v>
      </c>
      <c r="W53" s="4"/>
      <c r="X53" s="171">
        <f t="shared" si="23"/>
        <v>0</v>
      </c>
      <c r="Y53" s="171">
        <f t="shared" si="23"/>
        <v>0</v>
      </c>
      <c r="Z53" s="171">
        <f t="shared" si="23"/>
        <v>0</v>
      </c>
      <c r="AA53" s="171">
        <f t="shared" si="23"/>
        <v>0</v>
      </c>
      <c r="AB53" s="171">
        <f t="shared" si="23"/>
        <v>0</v>
      </c>
      <c r="AD53" s="4"/>
    </row>
    <row r="54" spans="1:35" ht="15.75" hidden="1" outlineLevel="1" x14ac:dyDescent="0.3">
      <c r="A54" s="207">
        <v>150</v>
      </c>
      <c r="B54" s="11" t="s">
        <v>28</v>
      </c>
      <c r="C54" s="11" t="s">
        <v>26</v>
      </c>
      <c r="D54" s="270" t="s">
        <v>86</v>
      </c>
      <c r="E54" s="271"/>
      <c r="F54" s="271"/>
      <c r="G54" s="271"/>
      <c r="H54" s="271"/>
      <c r="I54" s="272"/>
      <c r="J54" s="73">
        <f t="shared" si="24"/>
        <v>0</v>
      </c>
      <c r="K54" s="73">
        <f t="shared" si="24"/>
        <v>0</v>
      </c>
      <c r="L54" s="73">
        <f t="shared" si="24"/>
        <v>0</v>
      </c>
      <c r="M54" s="73">
        <f t="shared" si="24"/>
        <v>0</v>
      </c>
      <c r="N54" s="73">
        <f t="shared" si="24"/>
        <v>0</v>
      </c>
      <c r="O54" s="74"/>
      <c r="P54" s="75"/>
      <c r="Q54" s="171">
        <f t="shared" si="24"/>
        <v>0</v>
      </c>
      <c r="R54" s="171">
        <f t="shared" si="24"/>
        <v>0</v>
      </c>
      <c r="S54" s="171">
        <f t="shared" si="24"/>
        <v>0</v>
      </c>
      <c r="T54" s="171">
        <f t="shared" si="24"/>
        <v>0</v>
      </c>
      <c r="U54" s="171">
        <f t="shared" si="24"/>
        <v>0</v>
      </c>
      <c r="W54" s="4"/>
      <c r="X54" s="171">
        <f t="shared" si="23"/>
        <v>0</v>
      </c>
      <c r="Y54" s="171">
        <f t="shared" si="23"/>
        <v>0</v>
      </c>
      <c r="Z54" s="171">
        <f t="shared" si="23"/>
        <v>0</v>
      </c>
      <c r="AA54" s="171">
        <f t="shared" si="23"/>
        <v>0</v>
      </c>
      <c r="AB54" s="171">
        <f t="shared" si="23"/>
        <v>0</v>
      </c>
      <c r="AD54" s="4"/>
    </row>
    <row r="55" spans="1:35" ht="16.5" hidden="1" outlineLevel="1" thickBot="1" x14ac:dyDescent="0.35">
      <c r="A55" s="208">
        <v>200</v>
      </c>
      <c r="B55" s="13" t="s">
        <v>27</v>
      </c>
      <c r="C55" s="13" t="s">
        <v>26</v>
      </c>
      <c r="D55" s="285" t="s">
        <v>87</v>
      </c>
      <c r="E55" s="286"/>
      <c r="F55" s="286"/>
      <c r="G55" s="286"/>
      <c r="H55" s="286"/>
      <c r="I55" s="287"/>
      <c r="J55" s="76">
        <f t="shared" si="24"/>
        <v>0</v>
      </c>
      <c r="K55" s="76">
        <f t="shared" si="24"/>
        <v>0</v>
      </c>
      <c r="L55" s="76">
        <f t="shared" si="24"/>
        <v>0</v>
      </c>
      <c r="M55" s="76">
        <f t="shared" si="24"/>
        <v>0</v>
      </c>
      <c r="N55" s="76">
        <f t="shared" si="24"/>
        <v>0</v>
      </c>
      <c r="O55" s="74"/>
      <c r="P55" s="75"/>
      <c r="Q55" s="173">
        <f t="shared" si="24"/>
        <v>0</v>
      </c>
      <c r="R55" s="173">
        <f t="shared" si="24"/>
        <v>0</v>
      </c>
      <c r="S55" s="173">
        <f t="shared" si="24"/>
        <v>0</v>
      </c>
      <c r="T55" s="173">
        <f t="shared" si="24"/>
        <v>0</v>
      </c>
      <c r="U55" s="173">
        <f t="shared" si="24"/>
        <v>0</v>
      </c>
      <c r="W55" s="4"/>
      <c r="X55" s="173">
        <f t="shared" si="23"/>
        <v>0</v>
      </c>
      <c r="Y55" s="173">
        <f t="shared" si="23"/>
        <v>0</v>
      </c>
      <c r="Z55" s="173">
        <f t="shared" si="23"/>
        <v>0</v>
      </c>
      <c r="AA55" s="173">
        <f t="shared" si="23"/>
        <v>0</v>
      </c>
      <c r="AB55" s="173">
        <f t="shared" si="23"/>
        <v>0</v>
      </c>
      <c r="AD55" s="4"/>
    </row>
    <row r="56" spans="1:35" hidden="1" outlineLevel="1" x14ac:dyDescent="0.2">
      <c r="A56" s="288">
        <f>IF($J$9="R",0.85,
   IF($J$9="A",0.85,
    IF($J$9="D",0.85,
     IF($J$9="W",1.32,
      IF($J$9="N",1.8,"Fehler")))))</f>
        <v>0.85</v>
      </c>
      <c r="B56" s="289"/>
      <c r="C56" s="289"/>
      <c r="D56" s="289"/>
      <c r="E56" s="289"/>
      <c r="F56" s="289"/>
      <c r="G56" s="289"/>
      <c r="H56" s="289"/>
      <c r="I56" s="289"/>
      <c r="J56" s="205"/>
      <c r="K56" s="205"/>
      <c r="L56" s="205"/>
      <c r="M56" s="205"/>
      <c r="N56" s="206"/>
      <c r="P56" s="4"/>
      <c r="Q56" s="174"/>
      <c r="R56" s="174"/>
      <c r="S56" s="174"/>
      <c r="T56" s="174"/>
      <c r="U56" s="174"/>
      <c r="W56" s="4"/>
      <c r="X56" s="174"/>
      <c r="Y56" s="174"/>
      <c r="Z56" s="174"/>
      <c r="AA56" s="174"/>
      <c r="AB56" s="174"/>
      <c r="AD56" s="4"/>
    </row>
    <row r="57" spans="1:35" ht="15.75" hidden="1" outlineLevel="1" x14ac:dyDescent="0.3">
      <c r="A57" s="12">
        <f>IF($J$8&lt;SQRT(($A$56+0.15/1.5*9.81)*A20)*3.6,$J$8,SQRT(($A$56+0.15/1.5*9.81)*A20)*3.6)</f>
        <v>0</v>
      </c>
      <c r="B57" s="11" t="s">
        <v>58</v>
      </c>
      <c r="C57" s="11" t="s">
        <v>26</v>
      </c>
      <c r="D57" s="270" t="s">
        <v>97</v>
      </c>
      <c r="E57" s="271"/>
      <c r="F57" s="271"/>
      <c r="G57" s="271"/>
      <c r="H57" s="271"/>
      <c r="I57" s="272"/>
      <c r="J57" s="73">
        <f t="shared" ref="J57:U60" si="25">J$47*$A57+J$48</f>
        <v>0</v>
      </c>
      <c r="K57" s="73">
        <f t="shared" si="25"/>
        <v>0</v>
      </c>
      <c r="L57" s="73">
        <f t="shared" si="25"/>
        <v>0</v>
      </c>
      <c r="M57" s="73">
        <f t="shared" si="25"/>
        <v>0</v>
      </c>
      <c r="N57" s="73">
        <f t="shared" si="25"/>
        <v>0</v>
      </c>
      <c r="O57" s="74"/>
      <c r="P57" s="75"/>
      <c r="Q57" s="171">
        <f t="shared" ref="Q57:U59" si="26">Q$47*$A57+Q$48</f>
        <v>0</v>
      </c>
      <c r="R57" s="171">
        <f t="shared" si="26"/>
        <v>0</v>
      </c>
      <c r="S57" s="171">
        <f t="shared" si="26"/>
        <v>0</v>
      </c>
      <c r="T57" s="171">
        <f t="shared" si="26"/>
        <v>0</v>
      </c>
      <c r="U57" s="171">
        <f t="shared" si="26"/>
        <v>0</v>
      </c>
      <c r="W57" s="4"/>
      <c r="X57" s="171">
        <f t="shared" ref="X57:AB60" si="27">X$47*$A57+X$48</f>
        <v>0</v>
      </c>
      <c r="Y57" s="171">
        <f t="shared" si="27"/>
        <v>0</v>
      </c>
      <c r="Z57" s="171">
        <f t="shared" si="27"/>
        <v>0</v>
      </c>
      <c r="AA57" s="171">
        <f t="shared" si="27"/>
        <v>0</v>
      </c>
      <c r="AB57" s="171">
        <f t="shared" si="27"/>
        <v>0</v>
      </c>
      <c r="AD57" s="4"/>
    </row>
    <row r="58" spans="1:35" ht="15.75" hidden="1" outlineLevel="1" x14ac:dyDescent="0.3">
      <c r="A58" s="12">
        <f>IF($J$8&lt;SQRT(($A$56+0.15/1.5*9.81)*A21)*3.6,$J$8,SQRT(($A$56+0.15/1.5*9.81)*A21)*3.6)</f>
        <v>0</v>
      </c>
      <c r="B58" s="11" t="s">
        <v>57</v>
      </c>
      <c r="C58" s="11" t="s">
        <v>26</v>
      </c>
      <c r="D58" s="270" t="s">
        <v>96</v>
      </c>
      <c r="E58" s="271"/>
      <c r="F58" s="271"/>
      <c r="G58" s="271"/>
      <c r="H58" s="271"/>
      <c r="I58" s="272"/>
      <c r="J58" s="73">
        <f t="shared" si="25"/>
        <v>0</v>
      </c>
      <c r="K58" s="73">
        <f t="shared" si="25"/>
        <v>0</v>
      </c>
      <c r="L58" s="73">
        <f t="shared" si="25"/>
        <v>0</v>
      </c>
      <c r="M58" s="73">
        <f t="shared" si="25"/>
        <v>0</v>
      </c>
      <c r="N58" s="73">
        <f t="shared" si="25"/>
        <v>0</v>
      </c>
      <c r="O58" s="74"/>
      <c r="P58" s="75"/>
      <c r="Q58" s="171">
        <f t="shared" si="26"/>
        <v>0</v>
      </c>
      <c r="R58" s="171">
        <f t="shared" si="26"/>
        <v>0</v>
      </c>
      <c r="S58" s="171">
        <f t="shared" si="26"/>
        <v>0</v>
      </c>
      <c r="T58" s="171">
        <f t="shared" si="26"/>
        <v>0</v>
      </c>
      <c r="U58" s="171">
        <f t="shared" si="26"/>
        <v>0</v>
      </c>
      <c r="W58" s="4"/>
      <c r="X58" s="171">
        <f t="shared" si="27"/>
        <v>0</v>
      </c>
      <c r="Y58" s="171">
        <f t="shared" si="27"/>
        <v>0</v>
      </c>
      <c r="Z58" s="171">
        <f t="shared" si="27"/>
        <v>0</v>
      </c>
      <c r="AA58" s="171">
        <f t="shared" si="27"/>
        <v>0</v>
      </c>
      <c r="AB58" s="171">
        <f t="shared" si="27"/>
        <v>0</v>
      </c>
      <c r="AD58" s="4"/>
    </row>
    <row r="59" spans="1:35" ht="15.75" hidden="1" outlineLevel="1" x14ac:dyDescent="0.3">
      <c r="A59" s="12">
        <f>IF($J$8&lt;SQRT(($A$56+0.15/1.5*9.81)*A22)*3.6,$J$8,SQRT(($A$56+0.15/1.5*9.81)*A22)*3.6)</f>
        <v>0</v>
      </c>
      <c r="B59" s="11" t="s">
        <v>56</v>
      </c>
      <c r="C59" s="11" t="s">
        <v>26</v>
      </c>
      <c r="D59" s="270" t="s">
        <v>95</v>
      </c>
      <c r="E59" s="271"/>
      <c r="F59" s="271"/>
      <c r="G59" s="271"/>
      <c r="H59" s="271"/>
      <c r="I59" s="272"/>
      <c r="J59" s="73">
        <f t="shared" si="25"/>
        <v>0</v>
      </c>
      <c r="K59" s="73">
        <f t="shared" si="25"/>
        <v>0</v>
      </c>
      <c r="L59" s="73">
        <f t="shared" si="25"/>
        <v>0</v>
      </c>
      <c r="M59" s="73">
        <f t="shared" si="25"/>
        <v>0</v>
      </c>
      <c r="N59" s="73">
        <f t="shared" si="25"/>
        <v>0</v>
      </c>
      <c r="O59" s="74"/>
      <c r="P59" s="75"/>
      <c r="Q59" s="171">
        <f t="shared" si="26"/>
        <v>0</v>
      </c>
      <c r="R59" s="171">
        <f t="shared" si="26"/>
        <v>0</v>
      </c>
      <c r="S59" s="171">
        <f t="shared" si="26"/>
        <v>0</v>
      </c>
      <c r="T59" s="171">
        <f t="shared" si="26"/>
        <v>0</v>
      </c>
      <c r="U59" s="171">
        <f t="shared" si="26"/>
        <v>0</v>
      </c>
      <c r="W59" s="4"/>
      <c r="X59" s="171">
        <f t="shared" si="27"/>
        <v>0</v>
      </c>
      <c r="Y59" s="171">
        <f t="shared" si="27"/>
        <v>0</v>
      </c>
      <c r="Z59" s="171">
        <f t="shared" si="27"/>
        <v>0</v>
      </c>
      <c r="AA59" s="171">
        <f t="shared" si="27"/>
        <v>0</v>
      </c>
      <c r="AB59" s="171">
        <f t="shared" si="27"/>
        <v>0</v>
      </c>
      <c r="AD59" s="4"/>
    </row>
    <row r="60" spans="1:35" ht="16.5" hidden="1" outlineLevel="1" thickBot="1" x14ac:dyDescent="0.35">
      <c r="A60" s="12">
        <f>IF($J$8&lt;SQRT(($A$56+0.15/1.5*9.81)*A23)*3.6,$J$8,SQRT(($A$56+0.15/1.5*9.81)*A23)*3.6)</f>
        <v>0</v>
      </c>
      <c r="B60" s="11" t="s">
        <v>55</v>
      </c>
      <c r="C60" s="11" t="s">
        <v>26</v>
      </c>
      <c r="D60" s="270" t="s">
        <v>88</v>
      </c>
      <c r="E60" s="271"/>
      <c r="F60" s="271"/>
      <c r="G60" s="271"/>
      <c r="H60" s="271"/>
      <c r="I60" s="272"/>
      <c r="J60" s="73">
        <f>J$47*$A60+J$48</f>
        <v>0</v>
      </c>
      <c r="K60" s="73">
        <f t="shared" si="25"/>
        <v>0</v>
      </c>
      <c r="L60" s="73">
        <f t="shared" si="25"/>
        <v>0</v>
      </c>
      <c r="M60" s="73">
        <f t="shared" si="25"/>
        <v>0</v>
      </c>
      <c r="N60" s="73">
        <f t="shared" si="25"/>
        <v>0</v>
      </c>
      <c r="O60" s="74"/>
      <c r="P60" s="75"/>
      <c r="Q60" s="173">
        <f t="shared" si="25"/>
        <v>0</v>
      </c>
      <c r="R60" s="173">
        <f t="shared" si="25"/>
        <v>0</v>
      </c>
      <c r="S60" s="173">
        <f t="shared" si="25"/>
        <v>0</v>
      </c>
      <c r="T60" s="173">
        <f t="shared" si="25"/>
        <v>0</v>
      </c>
      <c r="U60" s="173">
        <f t="shared" si="25"/>
        <v>0</v>
      </c>
      <c r="W60" s="4"/>
      <c r="X60" s="173">
        <f t="shared" si="27"/>
        <v>0</v>
      </c>
      <c r="Y60" s="173">
        <f t="shared" si="27"/>
        <v>0</v>
      </c>
      <c r="Z60" s="173">
        <f t="shared" si="27"/>
        <v>0</v>
      </c>
      <c r="AA60" s="173">
        <f t="shared" si="27"/>
        <v>0</v>
      </c>
      <c r="AB60" s="173">
        <f t="shared" si="27"/>
        <v>0</v>
      </c>
      <c r="AD60" s="4"/>
    </row>
    <row r="61" spans="1:35" ht="66" hidden="1" customHeight="1" outlineLevel="1" thickBot="1" x14ac:dyDescent="0.35">
      <c r="A61" s="15" t="str">
        <f>IF($O$1="de","reduzierte Kontaktfläche",
IF($O$1="fr","Surface de contact réduite",
IF($O$1="it","Superficie di contatto ridotta",
IF($O$1="en","Reduced contact area","select language in cell N1"))))</f>
        <v>reduzierte Kontaktfläche</v>
      </c>
      <c r="B61" s="15" t="s">
        <v>98</v>
      </c>
      <c r="C61" s="16" t="s">
        <v>11</v>
      </c>
      <c r="D61" s="273"/>
      <c r="E61" s="274"/>
      <c r="F61" s="274"/>
      <c r="G61" s="274"/>
      <c r="H61" s="274"/>
      <c r="I61" s="275"/>
      <c r="J61" s="77" t="str">
        <f>IF(OR(J18=0,J19=0),"",(8.3593707*(ACOS(ABS(J18-0.3)/(J18+0.3)))+4.1874191)/(ACOS(ABS(J18-0.3)/(J18+0.3)))^(0.8571601)*(J16/(1/0.3+1/J18))^(2/3))</f>
        <v/>
      </c>
      <c r="K61" s="77" t="str">
        <f>IF(OR(K18=0,K19=0),"",(8.3593707*(ACOS(ABS(K18-0.3)/(K18+0.3)))+4.1874191)/(ACOS(ABS(K18-0.3)/(K18+0.3)))^(0.8571601)*(K16/(1/0.3+1/K18))^(2/3))</f>
        <v/>
      </c>
      <c r="L61" s="77" t="str">
        <f>IF(OR(L18=0,L19=0),"",(8.3593707*(ACOS(ABS(L18-0.3)/(L18+0.3)))+4.1874191)/(ACOS(ABS(L18-0.3)/(L18+0.3)))^(0.8571601)*(L16/(1/0.3+1/L18))^(2/3))</f>
        <v/>
      </c>
      <c r="M61" s="77" t="str">
        <f>IF(OR(M18=0,M19=0),"",(8.3593707*(ACOS(ABS(M18-0.3)/(M18+0.3)))+4.1874191)/(ACOS(ABS(M18-0.3)/(M18+0.3)))^(0.8571601)*(M16/(1/0.3+1/M18))^(2/3))</f>
        <v/>
      </c>
      <c r="N61" s="77" t="str">
        <f>IF(OR(N18=0,N19=0),"",(8.3593707*(ACOS(ABS(N18-0.3)/(N18+0.3)))+4.1874191)/(ACOS(ABS(N18-0.3)/(N18+0.3)))^(0.8571601)*(N16/(1/0.3+1/N18))^(2/3))</f>
        <v/>
      </c>
      <c r="P61" s="75"/>
      <c r="Q61" s="175" t="str">
        <f>IF(OR(Q18=0,Q19=0),"",(8.3593707*(ACOS(ABS(Q18-0.3)/(Q18+0.3)))+4.1874191)/(ACOS(ABS(Q18-0.3)/(Q18+0.3)))^(0.8571601)*(Q16/(1/0.3+1/Q18))^(2/3))</f>
        <v/>
      </c>
      <c r="R61" s="175" t="str">
        <f>IF(OR(R18=0,R19=0),"",(8.3593707*(ACOS(ABS(R18-0.3)/(R18+0.3)))+4.1874191)/(ACOS(ABS(R18-0.3)/(R18+0.3)))^(0.8571601)*(R16/(1/0.3+1/R18))^(2/3))</f>
        <v/>
      </c>
      <c r="S61" s="175" t="str">
        <f>IF(OR(S18=0,S19=0),"",(8.3593707*(ACOS(ABS(S18-0.3)/(S18+0.3)))+4.1874191)/(ACOS(ABS(S18-0.3)/(S18+0.3)))^(0.8571601)*(S16/(1/0.3+1/S18))^(2/3))</f>
        <v/>
      </c>
      <c r="T61" s="175" t="str">
        <f>IF(OR(T18=0,T19=0),"",(8.3593707*(ACOS(ABS(T18-0.3)/(T18+0.3)))+4.1874191)/(ACOS(ABS(T18-0.3)/(T18+0.3)))^(0.8571601)*(T16/(1/0.3+1/T18))^(2/3))</f>
        <v/>
      </c>
      <c r="U61" s="175" t="str">
        <f>IF(OR(U18=0,U19=0),"",(8.3593707*(ACOS(ABS(U18-0.3)/(U18+0.3)))+4.1874191)/(ACOS(ABS(U18-0.3)/(U18+0.3)))^(0.8571601)*(U16/(1/0.3+1/U18))^(2/3))</f>
        <v/>
      </c>
      <c r="W61" s="4"/>
      <c r="X61" s="175" t="str">
        <f>IF(OR(X18=0,X19=0),"",(8.3593707*(ACOS(ABS(X18-0.3)/(X18+0.3)))+4.1874191)/(ACOS(ABS(X18-0.3)/(X18+0.3)))^(0.8571601)*(X16/(1/0.3+1/X18))^(2/3))</f>
        <v/>
      </c>
      <c r="Y61" s="175" t="str">
        <f>IF(OR(Y18=0,Y19=0),"",(8.3593707*(ACOS(ABS(Y18-0.3)/(Y18+0.3)))+4.1874191)/(ACOS(ABS(Y18-0.3)/(Y18+0.3)))^(0.8571601)*(Y16/(1/0.3+1/Y18))^(2/3))</f>
        <v/>
      </c>
      <c r="Z61" s="175" t="str">
        <f>IF(OR(Z18=0,Z19=0),"",(8.3593707*(ACOS(ABS(Z18-0.3)/(Z18+0.3)))+4.1874191)/(ACOS(ABS(Z18-0.3)/(Z18+0.3)))^(0.8571601)*(Z16/(1/0.3+1/Z18))^(2/3))</f>
        <v/>
      </c>
      <c r="AA61" s="175" t="str">
        <f>IF(OR(AA18=0,AA19=0),"",(8.3593707*(ACOS(ABS(AA18-0.3)/(AA18+0.3)))+4.1874191)/(ACOS(ABS(AA18-0.3)/(AA18+0.3)))^(0.8571601)*(AA16/(1/0.3+1/AA18))^(2/3))</f>
        <v/>
      </c>
      <c r="AB61" s="175" t="str">
        <f>IF(OR(AB18=0,AB19=0),"",(8.3593707*(ACOS(ABS(AB18-0.3)/(AB18+0.3)))+4.1874191)/(ACOS(ABS(AB18-0.3)/(AB18+0.3)))^(0.8571601)*(AB16/(1/0.3+1/AB18))^(2/3))</f>
        <v/>
      </c>
      <c r="AD61" s="4"/>
    </row>
    <row r="62" spans="1:35" ht="13.15" customHeight="1" x14ac:dyDescent="0.2">
      <c r="A62" s="8"/>
      <c r="B62" s="6"/>
      <c r="C62" s="6"/>
      <c r="D62" s="9"/>
      <c r="E62" s="9"/>
      <c r="F62" s="9"/>
      <c r="G62" s="9"/>
      <c r="H62" s="9"/>
      <c r="I62" s="9"/>
      <c r="J62" s="10"/>
      <c r="K62" s="10"/>
      <c r="L62" s="10"/>
      <c r="M62" s="10"/>
      <c r="N62" s="10"/>
      <c r="P62" s="4"/>
      <c r="Q62" s="10"/>
      <c r="R62" s="10"/>
      <c r="S62" s="10"/>
      <c r="T62" s="10"/>
      <c r="U62" s="10"/>
      <c r="W62" s="4"/>
      <c r="X62" s="10"/>
      <c r="Y62" s="10"/>
      <c r="Z62" s="10"/>
      <c r="AA62" s="10"/>
      <c r="AB62" s="10"/>
      <c r="AD62" s="4"/>
    </row>
    <row r="63" spans="1:35" ht="18" collapsed="1" x14ac:dyDescent="0.25">
      <c r="A63" s="276" t="str">
        <f>IF($O$1="de","Berechnung der Schädigungskoeffizienten D1 bis D5",
IF($O$1="fr","Calcul des coefficients de dégât D1 à D5",
IF($O$1="it","Calcolo dei coefficienti di danneggiamento da D1 a D5",
IF($O$1="en","Calculation of damage coefficients D1 to D5","select language in cell N1"))))</f>
        <v>Berechnung der Schädigungskoeffizienten D1 bis D5</v>
      </c>
      <c r="B63" s="276"/>
      <c r="C63" s="276"/>
      <c r="D63" s="276"/>
      <c r="E63" s="276"/>
      <c r="F63" s="276"/>
      <c r="G63" s="276"/>
      <c r="H63" s="276"/>
      <c r="I63" s="276"/>
      <c r="J63" s="111" t="str">
        <f>IF($O$1="de","für nominelle Kosten",
IF($O$1="fr","pour les coûts nominaux",
IF($O$1="it","per costi nominali",
IF($O$1="en","for nominal costs","select language in cell N1"))))</f>
        <v>für nominelle Kosten</v>
      </c>
      <c r="K63" s="111"/>
      <c r="L63" s="111"/>
      <c r="M63" s="111"/>
      <c r="N63" s="111"/>
      <c r="O63" s="111"/>
      <c r="P63" s="4"/>
      <c r="Q63" s="110" t="str">
        <f>IF($O$1="de","für untere Kostengrenze",
IF($O$1="fr","pour la limite de coûts inférieure",
IF($O$1="it","per limite inferiore dei costi",
IF($O$1="en","for lower cost limit","select language in cell N1"))))</f>
        <v>für untere Kostengrenze</v>
      </c>
      <c r="R63" s="110"/>
      <c r="S63" s="110"/>
      <c r="T63" s="110"/>
      <c r="U63" s="110"/>
      <c r="V63" s="110"/>
      <c r="W63" s="4"/>
      <c r="X63" s="110" t="str">
        <f>IF($O$1="de","für obere Kostengrenze",
IF($O$1="fr","pour la limite de coûts supérieure",
IF($O$1="it","per limite superiore dei costi",
IF($O$1="en","for upper cost limit","select language in cell N1"))))</f>
        <v>für obere Kostengrenze</v>
      </c>
      <c r="Y63" s="110"/>
      <c r="Z63" s="110"/>
      <c r="AA63" s="110"/>
      <c r="AB63" s="110"/>
      <c r="AC63" s="110"/>
      <c r="AD63" s="4"/>
      <c r="AE63" s="277" t="str">
        <f>IF($O$1="de","Kostenkalibrier-Faktoren",
IF($O$1="fr","Facteurs de calibrage des coûts",
IF($O$1="it","Fattori di calibratura dei costi",
IF($O$1="en","Cost calibration factors","select language in cell N1"))))</f>
        <v>Kostenkalibrier-Faktoren</v>
      </c>
      <c r="AF63" s="278" t="str">
        <f>IF($O$1="de","Berechnung der Kostenelemente",
IF($O$1="fr","Calcul des éléments de coûts",
IF($O$1="it","Calcolo degli elementi di costo",
IF($O$1="en","Calculation of cost elements","select language in cell N1"))))</f>
        <v>Berechnung der Kostenelemente</v>
      </c>
      <c r="AG63" s="279"/>
      <c r="AH63" s="279"/>
      <c r="AI63" s="280"/>
    </row>
    <row r="64" spans="1:35" ht="15.75" hidden="1" outlineLevel="1" x14ac:dyDescent="0.25">
      <c r="A64" s="284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112"/>
      <c r="P64" s="4"/>
      <c r="Q64" s="112"/>
      <c r="R64" s="112"/>
      <c r="S64" s="112"/>
      <c r="T64" s="112"/>
      <c r="U64" s="112"/>
      <c r="V64" s="112"/>
      <c r="W64" s="4"/>
      <c r="X64" s="112"/>
      <c r="Y64" s="112"/>
      <c r="Z64" s="112"/>
      <c r="AA64" s="112"/>
      <c r="AB64" s="112"/>
      <c r="AC64" s="112"/>
      <c r="AD64" s="4"/>
      <c r="AE64" s="277"/>
      <c r="AF64" s="281"/>
      <c r="AG64" s="282"/>
      <c r="AH64" s="282"/>
      <c r="AI64" s="283"/>
    </row>
    <row r="65" spans="1:35" ht="16.5" hidden="1" outlineLevel="1" x14ac:dyDescent="0.3">
      <c r="A65" s="59" t="str">
        <f>IF($O$1="de","D1: Schotterschädigung und Gleislageverlust",
IF($O$1="fr","D1: Dégât de ballast et perte d'assiette de la voie",
IF($O$1="it","D1: Danneggiamento massicciata e perdita geometria del binario",
IF($O$1="en","D1: Ballast damage and track geometry loss","select language in cell N1"))))</f>
        <v>D1: Schotterschädigung und Gleislageverlust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54" t="str">
        <f>IF($O$1="de","Summe",
IF($O$1="fr","Somme",
IF($O$1="it","Somma",
IF($O$1="en","Sum","select language in cell N1"))))</f>
        <v>Summe</v>
      </c>
      <c r="P65" s="4"/>
      <c r="Q65" s="80"/>
      <c r="R65" s="80"/>
      <c r="S65" s="80"/>
      <c r="T65" s="80"/>
      <c r="U65" s="80"/>
      <c r="V65" s="81" t="str">
        <f>O65</f>
        <v>Summe</v>
      </c>
      <c r="W65" s="4"/>
      <c r="X65" s="80"/>
      <c r="Y65" s="80"/>
      <c r="Z65" s="80"/>
      <c r="AA65" s="80"/>
      <c r="AB65" s="80"/>
      <c r="AC65" s="81" t="str">
        <f>V65</f>
        <v>Summe</v>
      </c>
      <c r="AD65" s="4"/>
      <c r="AE65" s="45"/>
      <c r="AF65" s="219" t="str">
        <f>J102</f>
        <v>nominell</v>
      </c>
      <c r="AG65" s="219" t="str">
        <f>L102</f>
        <v>untere Grenze</v>
      </c>
      <c r="AH65" s="219" t="str">
        <f>M102</f>
        <v>obere Grenze</v>
      </c>
      <c r="AI65" s="27"/>
    </row>
    <row r="66" spans="1:35" ht="15.75" hidden="1" outlineLevel="1" x14ac:dyDescent="0.3">
      <c r="A66" s="268" t="str">
        <f>IF($O$1="de","Schädigungspotential D1 aller Radsätze aufgrund dynamischer Radkraft in der Geraden",
IF($O$1="fr","Dégât potentiel D1 de tous les essieux dû aux forces de roues dynamiques dans les alignements",
IF($O$1="it","Potenziale di danneggiamento D1 di tutte le sale montate sulla base della forza dinamica alla ruota in rettilineo",
IF($O$1="en","Damage potential D1 of all wheelsets due to dynamic wheel force on straight sections","select language in cell N1"))))</f>
        <v>Schädigungspotential D1 aller Radsätze aufgrund dynamischer Radkraft in der Geraden</v>
      </c>
      <c r="B66" s="17" t="s">
        <v>25</v>
      </c>
      <c r="C66" s="17"/>
      <c r="D66" s="240" t="s">
        <v>102</v>
      </c>
      <c r="E66" s="241"/>
      <c r="F66" s="241"/>
      <c r="G66" s="241"/>
      <c r="H66" s="241"/>
      <c r="I66" s="242"/>
      <c r="J66" s="19">
        <f t="shared" ref="J66:N71" si="28">J$15*(J50)^3</f>
        <v>0</v>
      </c>
      <c r="K66" s="19">
        <f t="shared" ref="K66" si="29">K$15*(K50)^3</f>
        <v>0</v>
      </c>
      <c r="L66" s="19">
        <f t="shared" si="28"/>
        <v>0</v>
      </c>
      <c r="M66" s="19">
        <f t="shared" si="28"/>
        <v>0</v>
      </c>
      <c r="N66" s="19">
        <f t="shared" si="28"/>
        <v>0</v>
      </c>
      <c r="O66" s="19">
        <f t="shared" ref="O66:O75" si="30">SUM(J66:N66)</f>
        <v>0</v>
      </c>
      <c r="P66" s="4"/>
      <c r="Q66" s="82">
        <f t="shared" ref="Q66:U71" si="31">Q$15*(Q50)^3</f>
        <v>0</v>
      </c>
      <c r="R66" s="82">
        <f>R$15*(R50)^3</f>
        <v>0</v>
      </c>
      <c r="S66" s="82">
        <f>S$15*(S50)^3</f>
        <v>0</v>
      </c>
      <c r="T66" s="82">
        <f t="shared" si="31"/>
        <v>0</v>
      </c>
      <c r="U66" s="82">
        <f t="shared" si="31"/>
        <v>0</v>
      </c>
      <c r="V66" s="82">
        <f t="shared" ref="V66:V75" si="32">SUM(Q66:U66)</f>
        <v>0</v>
      </c>
      <c r="W66" s="4"/>
      <c r="X66" s="82">
        <f t="shared" ref="X66:AB71" si="33">X$15*(X50)^3</f>
        <v>0</v>
      </c>
      <c r="Y66" s="82">
        <f t="shared" ref="Y66" si="34">Y$15*(Y50)^3</f>
        <v>0</v>
      </c>
      <c r="Z66" s="82">
        <f t="shared" si="33"/>
        <v>0</v>
      </c>
      <c r="AA66" s="82">
        <f t="shared" si="33"/>
        <v>0</v>
      </c>
      <c r="AB66" s="82">
        <f t="shared" si="33"/>
        <v>0</v>
      </c>
      <c r="AC66" s="82">
        <f>SUM(X66:AB66)</f>
        <v>0</v>
      </c>
      <c r="AD66" s="4"/>
      <c r="AE66" s="46">
        <v>8.8335332953868458E-10</v>
      </c>
      <c r="AF66" s="26">
        <f>$O$66*$AE66</f>
        <v>0</v>
      </c>
      <c r="AG66" s="26">
        <f>$V$66*$AE66</f>
        <v>0</v>
      </c>
      <c r="AH66" s="26">
        <f>$AC$66*$AE66</f>
        <v>0</v>
      </c>
      <c r="AI66" s="17" t="s">
        <v>59</v>
      </c>
    </row>
    <row r="67" spans="1:35" ht="15.75" hidden="1" outlineLevel="1" x14ac:dyDescent="0.3">
      <c r="A67" s="268"/>
      <c r="B67" s="17" t="s">
        <v>24</v>
      </c>
      <c r="C67" s="17"/>
      <c r="D67" s="240" t="s">
        <v>103</v>
      </c>
      <c r="E67" s="241"/>
      <c r="F67" s="241"/>
      <c r="G67" s="241"/>
      <c r="H67" s="241"/>
      <c r="I67" s="242"/>
      <c r="J67" s="19">
        <f t="shared" si="28"/>
        <v>0</v>
      </c>
      <c r="K67" s="19">
        <f t="shared" ref="K67" si="35">K$15*(K51)^3</f>
        <v>0</v>
      </c>
      <c r="L67" s="19">
        <f t="shared" si="28"/>
        <v>0</v>
      </c>
      <c r="M67" s="19">
        <f t="shared" si="28"/>
        <v>0</v>
      </c>
      <c r="N67" s="19">
        <f t="shared" si="28"/>
        <v>0</v>
      </c>
      <c r="O67" s="19">
        <f t="shared" si="30"/>
        <v>0</v>
      </c>
      <c r="P67" s="4"/>
      <c r="Q67" s="82">
        <f>Q$15*(Q51)^3</f>
        <v>0</v>
      </c>
      <c r="R67" s="82">
        <f>R$15*(R51)^3</f>
        <v>0</v>
      </c>
      <c r="S67" s="82">
        <f>S$15*(S51)^3</f>
        <v>0</v>
      </c>
      <c r="T67" s="82">
        <f t="shared" si="31"/>
        <v>0</v>
      </c>
      <c r="U67" s="82">
        <f t="shared" si="31"/>
        <v>0</v>
      </c>
      <c r="V67" s="82">
        <f t="shared" si="32"/>
        <v>0</v>
      </c>
      <c r="W67" s="4"/>
      <c r="X67" s="82">
        <f t="shared" si="33"/>
        <v>0</v>
      </c>
      <c r="Y67" s="82">
        <f t="shared" ref="Y67" si="36">Y$15*(Y51)^3</f>
        <v>0</v>
      </c>
      <c r="Z67" s="82">
        <f t="shared" si="33"/>
        <v>0</v>
      </c>
      <c r="AA67" s="82">
        <f t="shared" si="33"/>
        <v>0</v>
      </c>
      <c r="AB67" s="82">
        <f t="shared" si="33"/>
        <v>0</v>
      </c>
      <c r="AC67" s="82">
        <f>SUM(X67:AB67)</f>
        <v>0</v>
      </c>
      <c r="AD67" s="4"/>
      <c r="AE67" s="46">
        <v>8.8335332953868458E-10</v>
      </c>
      <c r="AF67" s="26">
        <f>$O$67*$AE67</f>
        <v>0</v>
      </c>
      <c r="AG67" s="26">
        <f>$V$67*$AE67</f>
        <v>0</v>
      </c>
      <c r="AH67" s="26">
        <f>$AC$67*$AE67</f>
        <v>0</v>
      </c>
      <c r="AI67" s="17" t="s">
        <v>60</v>
      </c>
    </row>
    <row r="68" spans="1:35" ht="15.75" hidden="1" outlineLevel="1" x14ac:dyDescent="0.3">
      <c r="A68" s="268"/>
      <c r="B68" s="17" t="s">
        <v>23</v>
      </c>
      <c r="C68" s="17"/>
      <c r="D68" s="240" t="s">
        <v>104</v>
      </c>
      <c r="E68" s="241"/>
      <c r="F68" s="241"/>
      <c r="G68" s="241"/>
      <c r="H68" s="241"/>
      <c r="I68" s="242"/>
      <c r="J68" s="19">
        <f t="shared" si="28"/>
        <v>0</v>
      </c>
      <c r="K68" s="19">
        <f t="shared" ref="K68" si="37">K$15*(K52)^3</f>
        <v>0</v>
      </c>
      <c r="L68" s="19">
        <f t="shared" si="28"/>
        <v>0</v>
      </c>
      <c r="M68" s="19">
        <f t="shared" si="28"/>
        <v>0</v>
      </c>
      <c r="N68" s="19">
        <f t="shared" si="28"/>
        <v>0</v>
      </c>
      <c r="O68" s="19">
        <f t="shared" si="30"/>
        <v>0</v>
      </c>
      <c r="P68" s="4"/>
      <c r="Q68" s="82">
        <f>Q$15*(Q52)^3</f>
        <v>0</v>
      </c>
      <c r="R68" s="82">
        <f t="shared" ref="R68" si="38">R$15*(R52)^3</f>
        <v>0</v>
      </c>
      <c r="S68" s="82">
        <f t="shared" si="31"/>
        <v>0</v>
      </c>
      <c r="T68" s="82">
        <f t="shared" si="31"/>
        <v>0</v>
      </c>
      <c r="U68" s="82">
        <f t="shared" si="31"/>
        <v>0</v>
      </c>
      <c r="V68" s="82">
        <f t="shared" si="32"/>
        <v>0</v>
      </c>
      <c r="W68" s="4"/>
      <c r="X68" s="82">
        <f t="shared" si="33"/>
        <v>0</v>
      </c>
      <c r="Y68" s="82">
        <f t="shared" ref="Y68" si="39">Y$15*(Y52)^3</f>
        <v>0</v>
      </c>
      <c r="Z68" s="82">
        <f t="shared" si="33"/>
        <v>0</v>
      </c>
      <c r="AA68" s="82">
        <f t="shared" si="33"/>
        <v>0</v>
      </c>
      <c r="AB68" s="82">
        <f t="shared" si="33"/>
        <v>0</v>
      </c>
      <c r="AC68" s="82">
        <f>SUM(X68:AB68)</f>
        <v>0</v>
      </c>
      <c r="AD68" s="4"/>
      <c r="AE68" s="46">
        <v>8.8335332953868458E-10</v>
      </c>
      <c r="AF68" s="26">
        <f>$O$68*$AE68</f>
        <v>0</v>
      </c>
      <c r="AG68" s="26">
        <f>$V$68*$AE68</f>
        <v>0</v>
      </c>
      <c r="AH68" s="26">
        <f>$AC$68*$AE68</f>
        <v>0</v>
      </c>
      <c r="AI68" s="17" t="s">
        <v>61</v>
      </c>
    </row>
    <row r="69" spans="1:35" ht="15.75" hidden="1" outlineLevel="1" x14ac:dyDescent="0.3">
      <c r="A69" s="268"/>
      <c r="B69" s="17" t="s">
        <v>22</v>
      </c>
      <c r="C69" s="17"/>
      <c r="D69" s="240" t="s">
        <v>105</v>
      </c>
      <c r="E69" s="241"/>
      <c r="F69" s="241"/>
      <c r="G69" s="241"/>
      <c r="H69" s="241"/>
      <c r="I69" s="242"/>
      <c r="J69" s="19">
        <f t="shared" si="28"/>
        <v>0</v>
      </c>
      <c r="K69" s="19">
        <f t="shared" ref="K69" si="40">K$15*(K53)^3</f>
        <v>0</v>
      </c>
      <c r="L69" s="19">
        <f t="shared" si="28"/>
        <v>0</v>
      </c>
      <c r="M69" s="19">
        <f t="shared" si="28"/>
        <v>0</v>
      </c>
      <c r="N69" s="19">
        <f t="shared" si="28"/>
        <v>0</v>
      </c>
      <c r="O69" s="19">
        <f t="shared" si="30"/>
        <v>0</v>
      </c>
      <c r="P69" s="4"/>
      <c r="Q69" s="82">
        <f>Q$15*(Q53)^3</f>
        <v>0</v>
      </c>
      <c r="R69" s="82">
        <f t="shared" ref="R69" si="41">R$15*(R53)^3</f>
        <v>0</v>
      </c>
      <c r="S69" s="82">
        <f t="shared" si="31"/>
        <v>0</v>
      </c>
      <c r="T69" s="82">
        <f t="shared" si="31"/>
        <v>0</v>
      </c>
      <c r="U69" s="82">
        <f t="shared" si="31"/>
        <v>0</v>
      </c>
      <c r="V69" s="82">
        <f t="shared" si="32"/>
        <v>0</v>
      </c>
      <c r="W69" s="4"/>
      <c r="X69" s="82">
        <f t="shared" si="33"/>
        <v>0</v>
      </c>
      <c r="Y69" s="82">
        <f t="shared" ref="Y69" si="42">Y$15*(Y53)^3</f>
        <v>0</v>
      </c>
      <c r="Z69" s="82">
        <f t="shared" si="33"/>
        <v>0</v>
      </c>
      <c r="AA69" s="82">
        <f t="shared" si="33"/>
        <v>0</v>
      </c>
      <c r="AB69" s="82">
        <f t="shared" si="33"/>
        <v>0</v>
      </c>
      <c r="AC69" s="82">
        <f t="shared" ref="AC69:AC75" si="43">SUM(X69:AB69)</f>
        <v>0</v>
      </c>
      <c r="AD69" s="4"/>
      <c r="AE69" s="46">
        <v>8.8335332953868458E-10</v>
      </c>
      <c r="AF69" s="26">
        <f>$O$69*$AE69</f>
        <v>0</v>
      </c>
      <c r="AG69" s="26">
        <f>$V$69*$AE69</f>
        <v>0</v>
      </c>
      <c r="AH69" s="26">
        <f>$AC$69*$AE69</f>
        <v>0</v>
      </c>
      <c r="AI69" s="17" t="s">
        <v>62</v>
      </c>
    </row>
    <row r="70" spans="1:35" ht="15.75" hidden="1" outlineLevel="1" x14ac:dyDescent="0.3">
      <c r="A70" s="268"/>
      <c r="B70" s="17" t="s">
        <v>21</v>
      </c>
      <c r="C70" s="17"/>
      <c r="D70" s="240" t="s">
        <v>106</v>
      </c>
      <c r="E70" s="241"/>
      <c r="F70" s="241"/>
      <c r="G70" s="241"/>
      <c r="H70" s="241"/>
      <c r="I70" s="242"/>
      <c r="J70" s="19">
        <f t="shared" si="28"/>
        <v>0</v>
      </c>
      <c r="K70" s="19">
        <f t="shared" ref="K70" si="44">K$15*(K54)^3</f>
        <v>0</v>
      </c>
      <c r="L70" s="19">
        <f t="shared" si="28"/>
        <v>0</v>
      </c>
      <c r="M70" s="19">
        <f t="shared" si="28"/>
        <v>0</v>
      </c>
      <c r="N70" s="19">
        <f t="shared" si="28"/>
        <v>0</v>
      </c>
      <c r="O70" s="19">
        <f t="shared" si="30"/>
        <v>0</v>
      </c>
      <c r="P70" s="4"/>
      <c r="Q70" s="82">
        <f>Q$15*(Q54)^3</f>
        <v>0</v>
      </c>
      <c r="R70" s="82">
        <f t="shared" ref="R70" si="45">R$15*(R54)^3</f>
        <v>0</v>
      </c>
      <c r="S70" s="82">
        <f t="shared" si="31"/>
        <v>0</v>
      </c>
      <c r="T70" s="82">
        <f t="shared" si="31"/>
        <v>0</v>
      </c>
      <c r="U70" s="82">
        <f t="shared" si="31"/>
        <v>0</v>
      </c>
      <c r="V70" s="82">
        <f t="shared" si="32"/>
        <v>0</v>
      </c>
      <c r="W70" s="4"/>
      <c r="X70" s="82">
        <f t="shared" si="33"/>
        <v>0</v>
      </c>
      <c r="Y70" s="82">
        <f t="shared" ref="Y70" si="46">Y$15*(Y54)^3</f>
        <v>0</v>
      </c>
      <c r="Z70" s="82">
        <f t="shared" si="33"/>
        <v>0</v>
      </c>
      <c r="AA70" s="82">
        <f t="shared" si="33"/>
        <v>0</v>
      </c>
      <c r="AB70" s="82">
        <f t="shared" si="33"/>
        <v>0</v>
      </c>
      <c r="AC70" s="82">
        <f t="shared" si="43"/>
        <v>0</v>
      </c>
      <c r="AD70" s="4"/>
      <c r="AE70" s="46">
        <v>8.8335332953868458E-10</v>
      </c>
      <c r="AF70" s="26">
        <f>$O$70*$AE70</f>
        <v>0</v>
      </c>
      <c r="AG70" s="26">
        <f>$V$70*$AE70</f>
        <v>0</v>
      </c>
      <c r="AH70" s="26">
        <f>$AC$70*$AE70</f>
        <v>0</v>
      </c>
      <c r="AI70" s="17" t="s">
        <v>63</v>
      </c>
    </row>
    <row r="71" spans="1:35" ht="16.5" hidden="1" outlineLevel="1" thickBot="1" x14ac:dyDescent="0.35">
      <c r="A71" s="269"/>
      <c r="B71" s="36" t="s">
        <v>89</v>
      </c>
      <c r="C71" s="36"/>
      <c r="D71" s="234" t="s">
        <v>107</v>
      </c>
      <c r="E71" s="235"/>
      <c r="F71" s="235"/>
      <c r="G71" s="235"/>
      <c r="H71" s="235"/>
      <c r="I71" s="236"/>
      <c r="J71" s="43">
        <f t="shared" si="28"/>
        <v>0</v>
      </c>
      <c r="K71" s="43">
        <f t="shared" ref="K71" si="47">K$15*(K55)^3</f>
        <v>0</v>
      </c>
      <c r="L71" s="43">
        <f t="shared" si="28"/>
        <v>0</v>
      </c>
      <c r="M71" s="43">
        <f t="shared" si="28"/>
        <v>0</v>
      </c>
      <c r="N71" s="43">
        <f t="shared" si="28"/>
        <v>0</v>
      </c>
      <c r="O71" s="43">
        <f t="shared" si="30"/>
        <v>0</v>
      </c>
      <c r="P71" s="4"/>
      <c r="Q71" s="89">
        <f t="shared" si="31"/>
        <v>0</v>
      </c>
      <c r="R71" s="89">
        <f t="shared" ref="R71" si="48">R$15*(R55)^3</f>
        <v>0</v>
      </c>
      <c r="S71" s="89">
        <f t="shared" si="31"/>
        <v>0</v>
      </c>
      <c r="T71" s="89">
        <f t="shared" si="31"/>
        <v>0</v>
      </c>
      <c r="U71" s="89">
        <f t="shared" si="31"/>
        <v>0</v>
      </c>
      <c r="V71" s="89">
        <f t="shared" si="32"/>
        <v>0</v>
      </c>
      <c r="W71" s="4"/>
      <c r="X71" s="89">
        <f t="shared" si="33"/>
        <v>0</v>
      </c>
      <c r="Y71" s="89">
        <f t="shared" ref="Y71" si="49">Y$15*(Y55)^3</f>
        <v>0</v>
      </c>
      <c r="Z71" s="89">
        <f t="shared" si="33"/>
        <v>0</v>
      </c>
      <c r="AA71" s="89">
        <f t="shared" si="33"/>
        <v>0</v>
      </c>
      <c r="AB71" s="89">
        <f t="shared" si="33"/>
        <v>0</v>
      </c>
      <c r="AC71" s="89">
        <f t="shared" si="43"/>
        <v>0</v>
      </c>
      <c r="AD71" s="4"/>
      <c r="AE71" s="47">
        <v>8.8335332953868458E-10</v>
      </c>
      <c r="AF71" s="44">
        <f>$O$71*$AE71</f>
        <v>0</v>
      </c>
      <c r="AG71" s="44">
        <f>$V$71*$AE71</f>
        <v>0</v>
      </c>
      <c r="AH71" s="44">
        <f>$AC$71*$AE71</f>
        <v>0</v>
      </c>
      <c r="AI71" s="36" t="s">
        <v>91</v>
      </c>
    </row>
    <row r="72" spans="1:35" ht="15.75" hidden="1" outlineLevel="1" x14ac:dyDescent="0.3">
      <c r="A72" s="267" t="str">
        <f>IF($O$1="de","Schädigungspotential D1 aller Radsätze aufgrund dynamischer Radkraft im Bogen",
IF($O$1="fr","Dégât potentiel D1 de tous les essieux dû aux forces de roues dynamiques dans les courbes",
IF($O$1="it","Potenziale di danneggiamento D1 di tutte le sale montate sulla base della forza dinamica alla ruota in curva",
IF($O$1="en","Damage potential D1 of all wheelsets due to dynamic wheel force on curves","select language in cell N1"))))</f>
        <v>Schädigungspotential D1 aller Radsätze aufgrund dynamischer Radkraft im Bogen</v>
      </c>
      <c r="B72" s="17" t="s">
        <v>17</v>
      </c>
      <c r="C72" s="17"/>
      <c r="D72" s="240" t="s">
        <v>111</v>
      </c>
      <c r="E72" s="241"/>
      <c r="F72" s="241"/>
      <c r="G72" s="241"/>
      <c r="H72" s="241"/>
      <c r="I72" s="242"/>
      <c r="J72" s="19">
        <f t="shared" ref="J72:N75" si="50">J$15*(J57)^3</f>
        <v>0</v>
      </c>
      <c r="K72" s="19">
        <f t="shared" ref="K72" si="51">K$15*(K57)^3</f>
        <v>0</v>
      </c>
      <c r="L72" s="19">
        <f t="shared" si="50"/>
        <v>0</v>
      </c>
      <c r="M72" s="19">
        <f t="shared" si="50"/>
        <v>0</v>
      </c>
      <c r="N72" s="19">
        <f t="shared" si="50"/>
        <v>0</v>
      </c>
      <c r="O72" s="19">
        <f>SUM(J72:N72)</f>
        <v>0</v>
      </c>
      <c r="P72" s="4"/>
      <c r="Q72" s="82">
        <f t="shared" ref="Q72:U75" si="52">Q$15*(Q57)^3</f>
        <v>0</v>
      </c>
      <c r="R72" s="82">
        <f t="shared" ref="R72" si="53">R$15*(R57)^3</f>
        <v>0</v>
      </c>
      <c r="S72" s="82">
        <f t="shared" si="52"/>
        <v>0</v>
      </c>
      <c r="T72" s="82">
        <f t="shared" si="52"/>
        <v>0</v>
      </c>
      <c r="U72" s="82">
        <f t="shared" si="52"/>
        <v>0</v>
      </c>
      <c r="V72" s="82">
        <f t="shared" si="32"/>
        <v>0</v>
      </c>
      <c r="W72" s="4"/>
      <c r="X72" s="82">
        <f t="shared" ref="X72:AB75" si="54">X$15*(X57)^3</f>
        <v>0</v>
      </c>
      <c r="Y72" s="82">
        <f t="shared" ref="Y72" si="55">Y$15*(Y57)^3</f>
        <v>0</v>
      </c>
      <c r="Z72" s="82">
        <f t="shared" si="54"/>
        <v>0</v>
      </c>
      <c r="AA72" s="82">
        <f t="shared" si="54"/>
        <v>0</v>
      </c>
      <c r="AB72" s="82">
        <f t="shared" si="54"/>
        <v>0</v>
      </c>
      <c r="AC72" s="82">
        <f t="shared" si="43"/>
        <v>0</v>
      </c>
      <c r="AD72" s="4"/>
      <c r="AE72" s="46">
        <v>1.0785342231351212E-8</v>
      </c>
      <c r="AF72" s="26">
        <f>$O$72*$AE72</f>
        <v>0</v>
      </c>
      <c r="AG72" s="26">
        <f>$V$72*$AE72</f>
        <v>0</v>
      </c>
      <c r="AH72" s="26">
        <f>$AC$72*$AE72</f>
        <v>0</v>
      </c>
      <c r="AI72" s="17" t="s">
        <v>67</v>
      </c>
    </row>
    <row r="73" spans="1:35" ht="15.75" hidden="1" outlineLevel="1" x14ac:dyDescent="0.3">
      <c r="A73" s="247"/>
      <c r="B73" s="17" t="s">
        <v>18</v>
      </c>
      <c r="C73" s="17"/>
      <c r="D73" s="240" t="s">
        <v>110</v>
      </c>
      <c r="E73" s="241"/>
      <c r="F73" s="241"/>
      <c r="G73" s="241"/>
      <c r="H73" s="241"/>
      <c r="I73" s="242"/>
      <c r="J73" s="19">
        <f t="shared" si="50"/>
        <v>0</v>
      </c>
      <c r="K73" s="19">
        <f t="shared" ref="K73" si="56">K$15*(K58)^3</f>
        <v>0</v>
      </c>
      <c r="L73" s="19">
        <f t="shared" si="50"/>
        <v>0</v>
      </c>
      <c r="M73" s="19">
        <f t="shared" si="50"/>
        <v>0</v>
      </c>
      <c r="N73" s="19">
        <f t="shared" si="50"/>
        <v>0</v>
      </c>
      <c r="O73" s="19">
        <f>SUM(J73:N73)</f>
        <v>0</v>
      </c>
      <c r="P73" s="4"/>
      <c r="Q73" s="82">
        <f t="shared" si="52"/>
        <v>0</v>
      </c>
      <c r="R73" s="82">
        <f t="shared" ref="R73" si="57">R$15*(R58)^3</f>
        <v>0</v>
      </c>
      <c r="S73" s="82">
        <f t="shared" si="52"/>
        <v>0</v>
      </c>
      <c r="T73" s="82">
        <f t="shared" si="52"/>
        <v>0</v>
      </c>
      <c r="U73" s="82">
        <f t="shared" si="52"/>
        <v>0</v>
      </c>
      <c r="V73" s="82">
        <f t="shared" si="32"/>
        <v>0</v>
      </c>
      <c r="W73" s="4"/>
      <c r="X73" s="82">
        <f t="shared" si="54"/>
        <v>0</v>
      </c>
      <c r="Y73" s="82">
        <f t="shared" ref="Y73" si="58">Y$15*(Y58)^3</f>
        <v>0</v>
      </c>
      <c r="Z73" s="82">
        <f t="shared" si="54"/>
        <v>0</v>
      </c>
      <c r="AA73" s="82">
        <f t="shared" si="54"/>
        <v>0</v>
      </c>
      <c r="AB73" s="82">
        <f t="shared" si="54"/>
        <v>0</v>
      </c>
      <c r="AC73" s="82">
        <f t="shared" si="43"/>
        <v>0</v>
      </c>
      <c r="AD73" s="4"/>
      <c r="AE73" s="46">
        <v>2.6667180758863404E-9</v>
      </c>
      <c r="AF73" s="26">
        <f>$O$73*$AE73</f>
        <v>0</v>
      </c>
      <c r="AG73" s="26">
        <f>$V$73*$AE73</f>
        <v>0</v>
      </c>
      <c r="AH73" s="26">
        <f>$AC$73*$AE73</f>
        <v>0</v>
      </c>
      <c r="AI73" s="17" t="s">
        <v>66</v>
      </c>
    </row>
    <row r="74" spans="1:35" ht="15.75" hidden="1" outlineLevel="1" x14ac:dyDescent="0.3">
      <c r="A74" s="247"/>
      <c r="B74" s="17" t="s">
        <v>19</v>
      </c>
      <c r="C74" s="17"/>
      <c r="D74" s="240" t="s">
        <v>109</v>
      </c>
      <c r="E74" s="241"/>
      <c r="F74" s="241"/>
      <c r="G74" s="241"/>
      <c r="H74" s="241"/>
      <c r="I74" s="242"/>
      <c r="J74" s="19">
        <f t="shared" si="50"/>
        <v>0</v>
      </c>
      <c r="K74" s="19">
        <f t="shared" ref="K74" si="59">K$15*(K59)^3</f>
        <v>0</v>
      </c>
      <c r="L74" s="19">
        <f t="shared" si="50"/>
        <v>0</v>
      </c>
      <c r="M74" s="19">
        <f t="shared" si="50"/>
        <v>0</v>
      </c>
      <c r="N74" s="19">
        <f t="shared" si="50"/>
        <v>0</v>
      </c>
      <c r="O74" s="19">
        <f>SUM(J74:N74)</f>
        <v>0</v>
      </c>
      <c r="P74" s="4"/>
      <c r="Q74" s="82">
        <f t="shared" si="52"/>
        <v>0</v>
      </c>
      <c r="R74" s="82">
        <f t="shared" ref="R74" si="60">R$15*(R59)^3</f>
        <v>0</v>
      </c>
      <c r="S74" s="82">
        <f t="shared" si="52"/>
        <v>0</v>
      </c>
      <c r="T74" s="82">
        <f t="shared" si="52"/>
        <v>0</v>
      </c>
      <c r="U74" s="82">
        <f t="shared" si="52"/>
        <v>0</v>
      </c>
      <c r="V74" s="82">
        <f t="shared" si="32"/>
        <v>0</v>
      </c>
      <c r="W74" s="4"/>
      <c r="X74" s="82">
        <f t="shared" si="54"/>
        <v>0</v>
      </c>
      <c r="Y74" s="82">
        <f t="shared" ref="Y74" si="61">Y$15*(Y59)^3</f>
        <v>0</v>
      </c>
      <c r="Z74" s="82">
        <f t="shared" si="54"/>
        <v>0</v>
      </c>
      <c r="AA74" s="82">
        <f t="shared" si="54"/>
        <v>0</v>
      </c>
      <c r="AB74" s="82">
        <f t="shared" si="54"/>
        <v>0</v>
      </c>
      <c r="AC74" s="82">
        <f t="shared" si="43"/>
        <v>0</v>
      </c>
      <c r="AD74" s="4"/>
      <c r="AE74" s="46">
        <v>1.5558671765777067E-9</v>
      </c>
      <c r="AF74" s="26">
        <f>$O$74*$AE74</f>
        <v>0</v>
      </c>
      <c r="AG74" s="26">
        <f>$V$74*$AE74</f>
        <v>0</v>
      </c>
      <c r="AH74" s="26">
        <f>$AC$74*$AE74</f>
        <v>0</v>
      </c>
      <c r="AI74" s="17" t="s">
        <v>65</v>
      </c>
    </row>
    <row r="75" spans="1:35" ht="15.6" hidden="1" customHeight="1" outlineLevel="1" x14ac:dyDescent="0.3">
      <c r="A75" s="248"/>
      <c r="B75" s="17" t="s">
        <v>20</v>
      </c>
      <c r="C75" s="17" t="s">
        <v>43</v>
      </c>
      <c r="D75" s="240" t="s">
        <v>108</v>
      </c>
      <c r="E75" s="241"/>
      <c r="F75" s="241"/>
      <c r="G75" s="241"/>
      <c r="H75" s="241"/>
      <c r="I75" s="242"/>
      <c r="J75" s="19">
        <f t="shared" si="50"/>
        <v>0</v>
      </c>
      <c r="K75" s="19">
        <f t="shared" ref="K75" si="62">K$15*(K60)^3</f>
        <v>0</v>
      </c>
      <c r="L75" s="19">
        <f t="shared" si="50"/>
        <v>0</v>
      </c>
      <c r="M75" s="19">
        <f t="shared" si="50"/>
        <v>0</v>
      </c>
      <c r="N75" s="19">
        <f t="shared" si="50"/>
        <v>0</v>
      </c>
      <c r="O75" s="19">
        <f t="shared" si="30"/>
        <v>0</v>
      </c>
      <c r="P75" s="4"/>
      <c r="Q75" s="88">
        <f t="shared" si="52"/>
        <v>0</v>
      </c>
      <c r="R75" s="88">
        <f t="shared" ref="R75" si="63">R$15*(R60)^3</f>
        <v>0</v>
      </c>
      <c r="S75" s="88">
        <f t="shared" si="52"/>
        <v>0</v>
      </c>
      <c r="T75" s="88">
        <f t="shared" si="52"/>
        <v>0</v>
      </c>
      <c r="U75" s="88">
        <f t="shared" si="52"/>
        <v>0</v>
      </c>
      <c r="V75" s="88">
        <f t="shared" si="32"/>
        <v>0</v>
      </c>
      <c r="W75" s="4"/>
      <c r="X75" s="88">
        <f t="shared" si="54"/>
        <v>0</v>
      </c>
      <c r="Y75" s="88">
        <f t="shared" ref="Y75" si="64">Y$15*(Y60)^3</f>
        <v>0</v>
      </c>
      <c r="Z75" s="88">
        <f t="shared" si="54"/>
        <v>0</v>
      </c>
      <c r="AA75" s="88">
        <f t="shared" si="54"/>
        <v>0</v>
      </c>
      <c r="AB75" s="88">
        <f t="shared" si="54"/>
        <v>0</v>
      </c>
      <c r="AC75" s="88">
        <f t="shared" si="43"/>
        <v>0</v>
      </c>
      <c r="AD75" s="4"/>
      <c r="AE75" s="46">
        <v>9.4947720839611591E-10</v>
      </c>
      <c r="AF75" s="26">
        <f>$O$75*$AE75</f>
        <v>0</v>
      </c>
      <c r="AG75" s="26">
        <f>$V$75*$AE75</f>
        <v>0</v>
      </c>
      <c r="AH75" s="26">
        <f>$AC$75*$AE75</f>
        <v>0</v>
      </c>
      <c r="AI75" s="17" t="s">
        <v>64</v>
      </c>
    </row>
    <row r="76" spans="1:35" ht="16.5" hidden="1" outlineLevel="1" x14ac:dyDescent="0.3">
      <c r="A76" s="20" t="str">
        <f>IF($O$1="de","D2: Schienenfehler in der Geraden",
IF($O$1="fr","D2: Défauts de rail dans les alignements",
IF($O$1="it","D2: Guasto di rotaia in rettilineo",
IF($O$1="en","D2: Rail defects on straight sections","select language in cell N1"))))</f>
        <v>D2: Schienenfehler in der Geraden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54" t="str">
        <f>IF($O$1="de","Summe",
IF($O$1="fr","Somme",
IF($O$1="it","Somma",
IF($O$1="en","Sum","select language in cell N1"))))</f>
        <v>Summe</v>
      </c>
      <c r="P76" s="4"/>
      <c r="Q76" s="80"/>
      <c r="R76" s="80"/>
      <c r="S76" s="80"/>
      <c r="T76" s="80"/>
      <c r="U76" s="80"/>
      <c r="V76" s="81" t="str">
        <f>O76</f>
        <v>Summe</v>
      </c>
      <c r="W76" s="4"/>
      <c r="X76" s="80"/>
      <c r="Y76" s="80"/>
      <c r="Z76" s="80"/>
      <c r="AA76" s="80"/>
      <c r="AB76" s="80"/>
      <c r="AC76" s="81" t="str">
        <f>V76</f>
        <v>Summe</v>
      </c>
      <c r="AD76" s="4"/>
      <c r="AE76" s="48"/>
      <c r="AF76" s="28"/>
      <c r="AG76" s="28"/>
      <c r="AH76" s="28"/>
      <c r="AI76" s="20"/>
    </row>
    <row r="77" spans="1:35" ht="15.75" hidden="1" outlineLevel="1" x14ac:dyDescent="0.3">
      <c r="A77" s="268" t="str">
        <f>IF($O$1="de","Schädigungspotential D2 aller Radsätze aufgrund dynamischer Radkraft in der Geraden",
IF($O$1="fr","Dégât potentiel D2 de tous les essieux dû aux forces de roues dynamiques dans les alignements",
IF($O$1="it","Potenziale di danneggiamento D2 di tutte le sale montate sulla base della forza dinamica alla ruota in rettilineo",
IF($O$1="en","Damage potential D2 of all wheelsets due to dynamic wheel force on straight sections","select language in cell N1"))))</f>
        <v>Schädigungspotential D2 aller Radsätze aufgrund dynamischer Radkraft in der Geraden</v>
      </c>
      <c r="B77" s="17" t="s">
        <v>16</v>
      </c>
      <c r="C77" s="17" t="s">
        <v>43</v>
      </c>
      <c r="D77" s="240" t="s">
        <v>112</v>
      </c>
      <c r="E77" s="241"/>
      <c r="F77" s="241"/>
      <c r="G77" s="241"/>
      <c r="H77" s="241"/>
      <c r="I77" s="242"/>
      <c r="J77" s="21">
        <f t="shared" ref="J77:N82" si="65">J$15*(J50)^1.2</f>
        <v>0</v>
      </c>
      <c r="K77" s="21">
        <f t="shared" ref="K77" si="66">K$15*(K50)^1.2</f>
        <v>0</v>
      </c>
      <c r="L77" s="21">
        <f t="shared" si="65"/>
        <v>0</v>
      </c>
      <c r="M77" s="21">
        <f t="shared" si="65"/>
        <v>0</v>
      </c>
      <c r="N77" s="21">
        <f t="shared" si="65"/>
        <v>0</v>
      </c>
      <c r="O77" s="21">
        <f t="shared" ref="O77:O82" si="67">SUM(J77:N77)</f>
        <v>0</v>
      </c>
      <c r="P77" s="4"/>
      <c r="Q77" s="83">
        <f t="shared" ref="Q77:U82" si="68">Q$15*(Q50)^1.2</f>
        <v>0</v>
      </c>
      <c r="R77" s="83">
        <f t="shared" ref="R77" si="69">R$15*(R50)^1.2</f>
        <v>0</v>
      </c>
      <c r="S77" s="83">
        <f t="shared" si="68"/>
        <v>0</v>
      </c>
      <c r="T77" s="83">
        <f t="shared" si="68"/>
        <v>0</v>
      </c>
      <c r="U77" s="83">
        <f t="shared" si="68"/>
        <v>0</v>
      </c>
      <c r="V77" s="83">
        <f t="shared" ref="V77:V82" si="70">SUM(Q77:U77)</f>
        <v>0</v>
      </c>
      <c r="W77" s="4"/>
      <c r="X77" s="83">
        <f t="shared" ref="X77:AB82" si="71">X$15*(X50)^1.2</f>
        <v>0</v>
      </c>
      <c r="Y77" s="83">
        <f t="shared" ref="Y77" si="72">Y$15*(Y50)^1.2</f>
        <v>0</v>
      </c>
      <c r="Z77" s="83">
        <f t="shared" si="71"/>
        <v>0</v>
      </c>
      <c r="AA77" s="83">
        <f t="shared" si="71"/>
        <v>0</v>
      </c>
      <c r="AB77" s="83">
        <f t="shared" si="71"/>
        <v>0</v>
      </c>
      <c r="AC77" s="83">
        <f t="shared" ref="AC77:AC82" si="73">SUM(X77:AB77)</f>
        <v>0</v>
      </c>
      <c r="AD77" s="4"/>
      <c r="AE77" s="46">
        <v>2.8185595884341636E-6</v>
      </c>
      <c r="AF77" s="26">
        <f>$O$77*$AE77</f>
        <v>0</v>
      </c>
      <c r="AG77" s="26">
        <f>$V$77*$AE77</f>
        <v>0</v>
      </c>
      <c r="AH77" s="26">
        <f>$AC$77*$AE77</f>
        <v>0</v>
      </c>
      <c r="AI77" s="17" t="s">
        <v>68</v>
      </c>
    </row>
    <row r="78" spans="1:35" ht="15.75" hidden="1" outlineLevel="1" x14ac:dyDescent="0.3">
      <c r="A78" s="268"/>
      <c r="B78" s="17" t="s">
        <v>15</v>
      </c>
      <c r="C78" s="17"/>
      <c r="D78" s="240" t="s">
        <v>113</v>
      </c>
      <c r="E78" s="241"/>
      <c r="F78" s="241"/>
      <c r="G78" s="241"/>
      <c r="H78" s="241"/>
      <c r="I78" s="242"/>
      <c r="J78" s="21">
        <f t="shared" si="65"/>
        <v>0</v>
      </c>
      <c r="K78" s="21">
        <f t="shared" ref="K78" si="74">K$15*(K51)^1.2</f>
        <v>0</v>
      </c>
      <c r="L78" s="21">
        <f t="shared" si="65"/>
        <v>0</v>
      </c>
      <c r="M78" s="21">
        <f t="shared" si="65"/>
        <v>0</v>
      </c>
      <c r="N78" s="21">
        <f t="shared" si="65"/>
        <v>0</v>
      </c>
      <c r="O78" s="21">
        <f t="shared" si="67"/>
        <v>0</v>
      </c>
      <c r="P78" s="4"/>
      <c r="Q78" s="83">
        <f t="shared" si="68"/>
        <v>0</v>
      </c>
      <c r="R78" s="83">
        <f t="shared" ref="R78" si="75">R$15*(R51)^1.2</f>
        <v>0</v>
      </c>
      <c r="S78" s="83">
        <f t="shared" si="68"/>
        <v>0</v>
      </c>
      <c r="T78" s="83">
        <f t="shared" si="68"/>
        <v>0</v>
      </c>
      <c r="U78" s="83">
        <f t="shared" si="68"/>
        <v>0</v>
      </c>
      <c r="V78" s="83">
        <f t="shared" si="70"/>
        <v>0</v>
      </c>
      <c r="W78" s="4"/>
      <c r="X78" s="83">
        <f t="shared" si="71"/>
        <v>0</v>
      </c>
      <c r="Y78" s="83">
        <f t="shared" ref="Y78" si="76">Y$15*(Y51)^1.2</f>
        <v>0</v>
      </c>
      <c r="Z78" s="83">
        <f t="shared" si="71"/>
        <v>0</v>
      </c>
      <c r="AA78" s="83">
        <f t="shared" si="71"/>
        <v>0</v>
      </c>
      <c r="AB78" s="83">
        <f t="shared" si="71"/>
        <v>0</v>
      </c>
      <c r="AC78" s="83">
        <f t="shared" si="73"/>
        <v>0</v>
      </c>
      <c r="AD78" s="4"/>
      <c r="AE78" s="46">
        <v>2.8185595884341636E-6</v>
      </c>
      <c r="AF78" s="26">
        <f>$O$78*$AE78</f>
        <v>0</v>
      </c>
      <c r="AG78" s="26">
        <f>$V$78*$AE78</f>
        <v>0</v>
      </c>
      <c r="AH78" s="26">
        <f>$AC$78*$AE78</f>
        <v>0</v>
      </c>
      <c r="AI78" s="17" t="s">
        <v>69</v>
      </c>
    </row>
    <row r="79" spans="1:35" ht="15.75" hidden="1" outlineLevel="1" x14ac:dyDescent="0.3">
      <c r="A79" s="268"/>
      <c r="B79" s="17" t="s">
        <v>14</v>
      </c>
      <c r="C79" s="17"/>
      <c r="D79" s="240" t="s">
        <v>114</v>
      </c>
      <c r="E79" s="241"/>
      <c r="F79" s="241"/>
      <c r="G79" s="241"/>
      <c r="H79" s="241"/>
      <c r="I79" s="242"/>
      <c r="J79" s="21">
        <f t="shared" si="65"/>
        <v>0</v>
      </c>
      <c r="K79" s="21">
        <f t="shared" ref="K79" si="77">K$15*(K52)^1.2</f>
        <v>0</v>
      </c>
      <c r="L79" s="21">
        <f t="shared" si="65"/>
        <v>0</v>
      </c>
      <c r="M79" s="21">
        <f t="shared" si="65"/>
        <v>0</v>
      </c>
      <c r="N79" s="21">
        <f t="shared" si="65"/>
        <v>0</v>
      </c>
      <c r="O79" s="21">
        <f t="shared" si="67"/>
        <v>0</v>
      </c>
      <c r="P79" s="4"/>
      <c r="Q79" s="83">
        <f t="shared" si="68"/>
        <v>0</v>
      </c>
      <c r="R79" s="83">
        <f t="shared" ref="R79" si="78">R$15*(R52)^1.2</f>
        <v>0</v>
      </c>
      <c r="S79" s="83">
        <f t="shared" si="68"/>
        <v>0</v>
      </c>
      <c r="T79" s="83">
        <f t="shared" si="68"/>
        <v>0</v>
      </c>
      <c r="U79" s="83">
        <f t="shared" si="68"/>
        <v>0</v>
      </c>
      <c r="V79" s="83">
        <f t="shared" si="70"/>
        <v>0</v>
      </c>
      <c r="W79" s="4"/>
      <c r="X79" s="83">
        <f t="shared" si="71"/>
        <v>0</v>
      </c>
      <c r="Y79" s="83">
        <f t="shared" ref="Y79" si="79">Y$15*(Y52)^1.2</f>
        <v>0</v>
      </c>
      <c r="Z79" s="83">
        <f t="shared" si="71"/>
        <v>0</v>
      </c>
      <c r="AA79" s="83">
        <f t="shared" si="71"/>
        <v>0</v>
      </c>
      <c r="AB79" s="83">
        <f t="shared" si="71"/>
        <v>0</v>
      </c>
      <c r="AC79" s="83">
        <f t="shared" si="73"/>
        <v>0</v>
      </c>
      <c r="AD79" s="4"/>
      <c r="AE79" s="46">
        <v>2.8185595884341636E-6</v>
      </c>
      <c r="AF79" s="26">
        <f>$O$79*$AE79</f>
        <v>0</v>
      </c>
      <c r="AG79" s="26">
        <f>$V$79*$AE79</f>
        <v>0</v>
      </c>
      <c r="AH79" s="26">
        <f>$AC$79*$AE79</f>
        <v>0</v>
      </c>
      <c r="AI79" s="17" t="s">
        <v>70</v>
      </c>
    </row>
    <row r="80" spans="1:35" ht="15.75" hidden="1" outlineLevel="1" x14ac:dyDescent="0.3">
      <c r="A80" s="268"/>
      <c r="B80" s="17" t="s">
        <v>13</v>
      </c>
      <c r="C80" s="17"/>
      <c r="D80" s="240" t="s">
        <v>115</v>
      </c>
      <c r="E80" s="241"/>
      <c r="F80" s="241"/>
      <c r="G80" s="241"/>
      <c r="H80" s="241"/>
      <c r="I80" s="242"/>
      <c r="J80" s="21">
        <f t="shared" si="65"/>
        <v>0</v>
      </c>
      <c r="K80" s="21">
        <f t="shared" ref="K80" si="80">K$15*(K53)^1.2</f>
        <v>0</v>
      </c>
      <c r="L80" s="21">
        <f t="shared" si="65"/>
        <v>0</v>
      </c>
      <c r="M80" s="21">
        <f t="shared" si="65"/>
        <v>0</v>
      </c>
      <c r="N80" s="21">
        <f t="shared" si="65"/>
        <v>0</v>
      </c>
      <c r="O80" s="21">
        <f t="shared" si="67"/>
        <v>0</v>
      </c>
      <c r="P80" s="4"/>
      <c r="Q80" s="83">
        <f t="shared" si="68"/>
        <v>0</v>
      </c>
      <c r="R80" s="83">
        <f t="shared" ref="R80" si="81">R$15*(R53)^1.2</f>
        <v>0</v>
      </c>
      <c r="S80" s="83">
        <f t="shared" si="68"/>
        <v>0</v>
      </c>
      <c r="T80" s="83">
        <f t="shared" si="68"/>
        <v>0</v>
      </c>
      <c r="U80" s="83">
        <f t="shared" si="68"/>
        <v>0</v>
      </c>
      <c r="V80" s="83">
        <f t="shared" si="70"/>
        <v>0</v>
      </c>
      <c r="W80" s="4"/>
      <c r="X80" s="83">
        <f t="shared" si="71"/>
        <v>0</v>
      </c>
      <c r="Y80" s="83">
        <f t="shared" ref="Y80" si="82">Y$15*(Y53)^1.2</f>
        <v>0</v>
      </c>
      <c r="Z80" s="83">
        <f t="shared" si="71"/>
        <v>0</v>
      </c>
      <c r="AA80" s="83">
        <f t="shared" si="71"/>
        <v>0</v>
      </c>
      <c r="AB80" s="83">
        <f t="shared" si="71"/>
        <v>0</v>
      </c>
      <c r="AC80" s="83">
        <f t="shared" si="73"/>
        <v>0</v>
      </c>
      <c r="AD80" s="4"/>
      <c r="AE80" s="46">
        <v>2.8185595884341636E-6</v>
      </c>
      <c r="AF80" s="26">
        <f>$O$80*$AE80</f>
        <v>0</v>
      </c>
      <c r="AG80" s="26">
        <f>$V$80*$AE80</f>
        <v>0</v>
      </c>
      <c r="AH80" s="26">
        <f>$AC$80*$AE80</f>
        <v>0</v>
      </c>
      <c r="AI80" s="17" t="s">
        <v>71</v>
      </c>
    </row>
    <row r="81" spans="1:43" ht="15.75" hidden="1" outlineLevel="1" x14ac:dyDescent="0.3">
      <c r="A81" s="268"/>
      <c r="B81" s="17" t="s">
        <v>12</v>
      </c>
      <c r="C81" s="17"/>
      <c r="D81" s="240" t="s">
        <v>116</v>
      </c>
      <c r="E81" s="241"/>
      <c r="F81" s="241"/>
      <c r="G81" s="241"/>
      <c r="H81" s="241"/>
      <c r="I81" s="242"/>
      <c r="J81" s="21">
        <f t="shared" si="65"/>
        <v>0</v>
      </c>
      <c r="K81" s="21">
        <f t="shared" ref="K81" si="83">K$15*(K54)^1.2</f>
        <v>0</v>
      </c>
      <c r="L81" s="21">
        <f t="shared" si="65"/>
        <v>0</v>
      </c>
      <c r="M81" s="21">
        <f t="shared" si="65"/>
        <v>0</v>
      </c>
      <c r="N81" s="21">
        <f t="shared" si="65"/>
        <v>0</v>
      </c>
      <c r="O81" s="21">
        <f t="shared" si="67"/>
        <v>0</v>
      </c>
      <c r="P81" s="4"/>
      <c r="Q81" s="83">
        <f t="shared" si="68"/>
        <v>0</v>
      </c>
      <c r="R81" s="83">
        <f t="shared" ref="R81" si="84">R$15*(R54)^1.2</f>
        <v>0</v>
      </c>
      <c r="S81" s="83">
        <f t="shared" si="68"/>
        <v>0</v>
      </c>
      <c r="T81" s="83">
        <f t="shared" si="68"/>
        <v>0</v>
      </c>
      <c r="U81" s="83">
        <f t="shared" si="68"/>
        <v>0</v>
      </c>
      <c r="V81" s="83">
        <f t="shared" si="70"/>
        <v>0</v>
      </c>
      <c r="W81" s="4"/>
      <c r="X81" s="83">
        <f t="shared" si="71"/>
        <v>0</v>
      </c>
      <c r="Y81" s="83">
        <f t="shared" ref="Y81" si="85">Y$15*(Y54)^1.2</f>
        <v>0</v>
      </c>
      <c r="Z81" s="83">
        <f t="shared" si="71"/>
        <v>0</v>
      </c>
      <c r="AA81" s="83">
        <f t="shared" si="71"/>
        <v>0</v>
      </c>
      <c r="AB81" s="83">
        <f t="shared" si="71"/>
        <v>0</v>
      </c>
      <c r="AC81" s="83">
        <f t="shared" si="73"/>
        <v>0</v>
      </c>
      <c r="AD81" s="4"/>
      <c r="AE81" s="46">
        <v>2.8185595884341636E-6</v>
      </c>
      <c r="AF81" s="26">
        <f>$O$81*$AE81</f>
        <v>0</v>
      </c>
      <c r="AG81" s="26">
        <f>$V$81*$AE81</f>
        <v>0</v>
      </c>
      <c r="AH81" s="26">
        <f>$AC$81*$AE81</f>
        <v>0</v>
      </c>
      <c r="AI81" s="17" t="s">
        <v>72</v>
      </c>
    </row>
    <row r="82" spans="1:43" ht="15.75" hidden="1" outlineLevel="1" x14ac:dyDescent="0.3">
      <c r="A82" s="268"/>
      <c r="B82" s="17" t="s">
        <v>90</v>
      </c>
      <c r="C82" s="17"/>
      <c r="D82" s="240" t="s">
        <v>117</v>
      </c>
      <c r="E82" s="241"/>
      <c r="F82" s="241"/>
      <c r="G82" s="241"/>
      <c r="H82" s="241"/>
      <c r="I82" s="242"/>
      <c r="J82" s="21">
        <f t="shared" si="65"/>
        <v>0</v>
      </c>
      <c r="K82" s="21">
        <f t="shared" ref="K82" si="86">K$15*(K55)^1.2</f>
        <v>0</v>
      </c>
      <c r="L82" s="21">
        <f t="shared" si="65"/>
        <v>0</v>
      </c>
      <c r="M82" s="21">
        <f t="shared" si="65"/>
        <v>0</v>
      </c>
      <c r="N82" s="21">
        <f t="shared" si="65"/>
        <v>0</v>
      </c>
      <c r="O82" s="21">
        <f t="shared" si="67"/>
        <v>0</v>
      </c>
      <c r="P82" s="4"/>
      <c r="Q82" s="83">
        <f t="shared" si="68"/>
        <v>0</v>
      </c>
      <c r="R82" s="83">
        <f t="shared" ref="R82" si="87">R$15*(R55)^1.2</f>
        <v>0</v>
      </c>
      <c r="S82" s="83">
        <f t="shared" si="68"/>
        <v>0</v>
      </c>
      <c r="T82" s="83">
        <f t="shared" si="68"/>
        <v>0</v>
      </c>
      <c r="U82" s="83">
        <f t="shared" si="68"/>
        <v>0</v>
      </c>
      <c r="V82" s="83">
        <f t="shared" si="70"/>
        <v>0</v>
      </c>
      <c r="W82" s="4"/>
      <c r="X82" s="83">
        <f t="shared" si="71"/>
        <v>0</v>
      </c>
      <c r="Y82" s="83">
        <f t="shared" ref="Y82" si="88">Y$15*(Y55)^1.2</f>
        <v>0</v>
      </c>
      <c r="Z82" s="83">
        <f t="shared" si="71"/>
        <v>0</v>
      </c>
      <c r="AA82" s="83">
        <f t="shared" si="71"/>
        <v>0</v>
      </c>
      <c r="AB82" s="83">
        <f t="shared" si="71"/>
        <v>0</v>
      </c>
      <c r="AC82" s="83">
        <f t="shared" si="73"/>
        <v>0</v>
      </c>
      <c r="AD82" s="4"/>
      <c r="AE82" s="46">
        <v>2.8185595884341636E-6</v>
      </c>
      <c r="AF82" s="26">
        <f>$O$82*$AE82</f>
        <v>0</v>
      </c>
      <c r="AG82" s="26">
        <f>$V$82*$AE82</f>
        <v>0</v>
      </c>
      <c r="AH82" s="26">
        <f>$AC$82*$AE82</f>
        <v>0</v>
      </c>
      <c r="AI82" s="17" t="s">
        <v>92</v>
      </c>
    </row>
    <row r="83" spans="1:43" ht="16.5" hidden="1" outlineLevel="1" x14ac:dyDescent="0.3">
      <c r="A83" s="20" t="str">
        <f>IF($O$1="de","D3: Schienenfehler in der Geraden infolge Antriebs",
IF($O$1="fr","D3: Défauts de rail dans les alignements dus à la traction",
IF($O$1="it","D3: Guasto di rotaia in rettilineo dovuto a trazione",
IF($O$1="en","D3: Rail defects on straight sections due to drive","select language in cell N1"))))</f>
        <v>D3: Schienenfehler in der Geraden infolge Antriebs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54" t="str">
        <f>IF($O$1="de","gewichtetes Mittel",
IF($O$1="fr","moyenne pondérée",
IF($O$1="it","Media pesata",
IF($O$1="en","weighted average","select language in cell N1"))))</f>
        <v>gewichtetes Mittel</v>
      </c>
      <c r="P83" s="4"/>
      <c r="Q83" s="80"/>
      <c r="R83" s="80"/>
      <c r="S83" s="80"/>
      <c r="T83" s="80"/>
      <c r="U83" s="80"/>
      <c r="V83" s="81" t="str">
        <f>O83</f>
        <v>gewichtetes Mittel</v>
      </c>
      <c r="W83" s="4"/>
      <c r="X83" s="80"/>
      <c r="Y83" s="80"/>
      <c r="Z83" s="80"/>
      <c r="AA83" s="80"/>
      <c r="AB83" s="80"/>
      <c r="AC83" s="81" t="str">
        <f>V83</f>
        <v>gewichtetes Mittel</v>
      </c>
      <c r="AD83" s="4"/>
      <c r="AE83" s="48"/>
      <c r="AF83" s="28"/>
      <c r="AG83" s="28"/>
      <c r="AH83" s="28"/>
      <c r="AI83" s="20"/>
    </row>
    <row r="84" spans="1:43" ht="31.15" hidden="1" customHeight="1" outlineLevel="1" x14ac:dyDescent="0.25">
      <c r="A84" s="22" t="str">
        <f>IF($O$1="de","Schädigungspotential D3 des Fahrzeugs aufgrund Antrieb in der Geraden (TractionPowerValue Tpv)",
IF($O$1="fr","Dégât potentiel D3 du véhicule dû à la traction dans les alignements (TractionPowerValue Tpv)",
IF($O$1="it","Potenziale di danneggiamento D3 del veicolo dovuto a trazione in rettilineo (TractionPowerValue Tpv)",
IF($O$1="en","Damage potential D3 of the vehicle due to drive on straight sections (TractionPowerValue Tpv)","select language in cell N1"))))</f>
        <v>Schädigungspotential D3 des Fahrzeugs aufgrund Antrieb in der Geraden (TractionPowerValue Tpv)</v>
      </c>
      <c r="B84" s="17" t="s">
        <v>10</v>
      </c>
      <c r="C84" s="17"/>
      <c r="D84" s="240" t="s">
        <v>120</v>
      </c>
      <c r="E84" s="241"/>
      <c r="F84" s="241"/>
      <c r="G84" s="241"/>
      <c r="H84" s="241"/>
      <c r="I84" s="242"/>
      <c r="J84" s="23">
        <f>IF(J61="",0,J19/J61)</f>
        <v>0</v>
      </c>
      <c r="K84" s="23">
        <f>IF(K61="",0,K19/K61)</f>
        <v>0</v>
      </c>
      <c r="L84" s="23">
        <f>IF(L61="",0,L19/L61)</f>
        <v>0</v>
      </c>
      <c r="M84" s="23">
        <f>IF(M61="",0,M19/M61)</f>
        <v>0</v>
      </c>
      <c r="N84" s="23">
        <f>IF(N61="",0,N19/N61)</f>
        <v>0</v>
      </c>
      <c r="O84" s="23">
        <f>IFERROR(SUMPRODUCT(J84:N84,J14:N14)/SUM(J14:N14),0)</f>
        <v>0</v>
      </c>
      <c r="P84" s="4"/>
      <c r="Q84" s="84">
        <f>IF(Q61="",0,Q19/Q61)</f>
        <v>0</v>
      </c>
      <c r="R84" s="84">
        <f>IF(R61="",0,R19/R61)</f>
        <v>0</v>
      </c>
      <c r="S84" s="84">
        <f>IF(S61="",0,S19/S61)</f>
        <v>0</v>
      </c>
      <c r="T84" s="84">
        <f>IF(T61="",0,T19/T61)</f>
        <v>0</v>
      </c>
      <c r="U84" s="84">
        <f>IF(U61="",0,U19/U61)</f>
        <v>0</v>
      </c>
      <c r="V84" s="84">
        <f>IFERROR(SUMPRODUCT(Q84:U84,Q14:U14)/SUM(Q14:U14),0)</f>
        <v>0</v>
      </c>
      <c r="W84" s="4"/>
      <c r="X84" s="84">
        <f>IF(X61="",0,X19/X61)</f>
        <v>0</v>
      </c>
      <c r="Y84" s="84">
        <f>IF(Y61="",0,Y19/Y61)</f>
        <v>0</v>
      </c>
      <c r="Z84" s="84">
        <f>IF(Z61="",0,Z19/Z61)</f>
        <v>0</v>
      </c>
      <c r="AA84" s="84">
        <f>IF(AA61="",0,AA19/AA61)</f>
        <v>0</v>
      </c>
      <c r="AB84" s="84">
        <f>IF(AB61="",0,AB19/AB61)</f>
        <v>0</v>
      </c>
      <c r="AC84" s="84">
        <f>IFERROR(SUMPRODUCT(X84:AB84,X14:AB14)/SUM(X14:AB14),0)</f>
        <v>0</v>
      </c>
      <c r="AD84" s="4"/>
      <c r="AE84" s="46">
        <v>3.3799267259544087E-3</v>
      </c>
      <c r="AF84" s="26">
        <f>$O$84*$AE84</f>
        <v>0</v>
      </c>
      <c r="AG84" s="26">
        <f>$V$84*$AE84</f>
        <v>0</v>
      </c>
      <c r="AH84" s="26">
        <f>$AC$84*$AE84</f>
        <v>0</v>
      </c>
      <c r="AI84" s="17" t="s">
        <v>73</v>
      </c>
    </row>
    <row r="85" spans="1:43" ht="16.5" hidden="1" outlineLevel="1" x14ac:dyDescent="0.3">
      <c r="A85" s="258" t="str">
        <f>IF($O$1="de","D4: Schienenfehler und -verschleiss im Gleisbogen",
IF($O$1="fr","D4: Défauts de rail  et usure du rail dans les courbes",
IF($O$1="it","D4: Guasto di rotaia e usura della stessa in curva",
IF($O$1="en","D4: Rail defects and wear on curved track","select language in cell N1"))))</f>
        <v>D4: Schienenfehler und -verschleiss im Gleisbogen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60"/>
      <c r="O85" s="54"/>
      <c r="P85" s="4"/>
      <c r="Q85" s="81"/>
      <c r="R85" s="81"/>
      <c r="S85" s="81"/>
      <c r="T85" s="81"/>
      <c r="U85" s="81"/>
      <c r="V85" s="81"/>
      <c r="W85" s="4"/>
      <c r="X85" s="81"/>
      <c r="Y85" s="81"/>
      <c r="Z85" s="81"/>
      <c r="AA85" s="81"/>
      <c r="AB85" s="81"/>
      <c r="AC85" s="81"/>
      <c r="AD85" s="4"/>
      <c r="AE85" s="49"/>
      <c r="AF85" s="29"/>
      <c r="AG85" s="29"/>
      <c r="AH85" s="29"/>
      <c r="AI85" s="30"/>
    </row>
    <row r="86" spans="1:43" s="2" customFormat="1" ht="15.75" hidden="1" outlineLevel="1" x14ac:dyDescent="0.25">
      <c r="A86" s="243" t="str">
        <f>IF($O$1="de","D4.1: Rollkontaktermüdung im Gleisbogen",
IF($O$1="fr","D4.1: Fatigue de contact de roulement dans les courbes",
IF($O$1="it","D4.1: Affaticamento contatto rotolate in curva",
IF($O$1="en","D4.1: Rolling contact fatigue on curved track","select language in cell N1"))))</f>
        <v>D4.1: Rollkontaktermüdung im Gleisbogen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5"/>
      <c r="O86" s="55" t="str">
        <f>IF($O$1="de","Summe",
IF($O$1="fr","Somme",
IF($O$1="it","Somma",
IF($O$1="en","Sum","select language in cell N1"))))</f>
        <v>Summe</v>
      </c>
      <c r="P86" s="4"/>
      <c r="Q86" s="90"/>
      <c r="R86" s="91"/>
      <c r="S86" s="91"/>
      <c r="T86" s="91"/>
      <c r="U86" s="92"/>
      <c r="V86" s="85" t="str">
        <f>O86</f>
        <v>Summe</v>
      </c>
      <c r="W86" s="4"/>
      <c r="X86" s="90"/>
      <c r="Y86" s="91"/>
      <c r="Z86" s="91"/>
      <c r="AA86" s="91"/>
      <c r="AB86" s="92"/>
      <c r="AC86" s="85" t="str">
        <f>V86</f>
        <v>Summe</v>
      </c>
      <c r="AD86" s="4"/>
      <c r="AE86" s="50"/>
      <c r="AF86" s="31"/>
      <c r="AG86" s="31"/>
      <c r="AH86" s="31"/>
      <c r="AI86" s="32"/>
      <c r="AP86" s="57"/>
      <c r="AQ86" s="57"/>
    </row>
    <row r="87" spans="1:43" ht="15.75" hidden="1" outlineLevel="1" x14ac:dyDescent="0.3">
      <c r="A87" s="246" t="str">
        <f>IF($O$1="de","Schädigungspotential D4.1 der führenden Radsätze aufgrund Reibarbeit im Bogen",
IF($O$1="fr","Dégât potentiel D4.1 des essieux avant dû au frottement dans les courbes",
IF($O$1="it","Potenziale di danneggiamento D4.1 delle sale montate di guida in seguito all’attrito in curva",
IF($O$1="en","Damage potential D4.1 of leading wheelsets due to friction work on curves","select language in cell N1"))))</f>
        <v>Schädigungspotential D4.1 der führenden Radsätze aufgrund Reibarbeit im Bogen</v>
      </c>
      <c r="B87" s="17" t="s">
        <v>5</v>
      </c>
      <c r="C87" s="17"/>
      <c r="D87" s="249" t="s">
        <v>208</v>
      </c>
      <c r="E87" s="250"/>
      <c r="F87" s="250"/>
      <c r="G87" s="250"/>
      <c r="H87" s="250"/>
      <c r="I87" s="251"/>
      <c r="J87" s="24">
        <f t="shared" ref="J87:N90" si="89">J$13*IF(J20&gt;=15,
  IF(J20&lt;65,0.02*J20-0.3,
   IF((J20&lt;175),(-J20+175)/110,0)),0)</f>
        <v>0</v>
      </c>
      <c r="K87" s="24">
        <f t="shared" ref="K87" si="90">K$13*IF(K20&gt;=15,
  IF(K20&lt;65,0.02*K20-0.3,
   IF((K20&lt;175),(-K20+175)/110,0)),0)</f>
        <v>0</v>
      </c>
      <c r="L87" s="24">
        <f t="shared" si="89"/>
        <v>0</v>
      </c>
      <c r="M87" s="24">
        <f t="shared" si="89"/>
        <v>0</v>
      </c>
      <c r="N87" s="24">
        <f t="shared" si="89"/>
        <v>0</v>
      </c>
      <c r="O87" s="24">
        <f>SUM(J87:N87)</f>
        <v>0</v>
      </c>
      <c r="P87" s="4"/>
      <c r="Q87" s="86">
        <f t="shared" ref="Q87:U90" si="91">Q$13*IF(Q20&gt;=15,
  IF(Q20&lt;65,0.02*Q20-0.3,
   IF((Q20&lt;175),(-Q20+175)/110,0)),0)</f>
        <v>0</v>
      </c>
      <c r="R87" s="86">
        <f t="shared" ref="R87" si="92">R$13*IF(R20&gt;=15,
  IF(R20&lt;65,0.02*R20-0.3,
   IF((R20&lt;175),(-R20+175)/110,0)),0)</f>
        <v>0</v>
      </c>
      <c r="S87" s="86">
        <f t="shared" si="91"/>
        <v>0</v>
      </c>
      <c r="T87" s="86">
        <f t="shared" si="91"/>
        <v>0</v>
      </c>
      <c r="U87" s="86">
        <f t="shared" si="91"/>
        <v>0</v>
      </c>
      <c r="V87" s="86">
        <f>SUM(Q87:U87)</f>
        <v>0</v>
      </c>
      <c r="W87" s="4"/>
      <c r="X87" s="86">
        <f t="shared" ref="X87:AB90" si="93">X$13*IF(X20&gt;=15,
  IF(X20&lt;65,0.02*X20-0.3,
   IF((X20&lt;175),(-X20+175)/110,0)),0)</f>
        <v>0</v>
      </c>
      <c r="Y87" s="86">
        <f t="shared" ref="Y87" si="94">Y$13*IF(Y20&gt;=15,
  IF(Y20&lt;65,0.02*Y20-0.3,
   IF((Y20&lt;175),(-Y20+175)/110,0)),0)</f>
        <v>0</v>
      </c>
      <c r="Z87" s="86">
        <f t="shared" si="93"/>
        <v>0</v>
      </c>
      <c r="AA87" s="86">
        <f t="shared" si="93"/>
        <v>0</v>
      </c>
      <c r="AB87" s="86">
        <f t="shared" si="93"/>
        <v>0</v>
      </c>
      <c r="AC87" s="86">
        <f>SUM(X87:AB87)</f>
        <v>0</v>
      </c>
      <c r="AD87" s="4"/>
      <c r="AE87" s="46">
        <v>8.1359599718872272E-2</v>
      </c>
      <c r="AF87" s="26">
        <f>$O$87*$AE87</f>
        <v>0</v>
      </c>
      <c r="AG87" s="26">
        <f>$V$87*$AE87</f>
        <v>0</v>
      </c>
      <c r="AH87" s="26">
        <f>$AC$87*$AE87</f>
        <v>0</v>
      </c>
      <c r="AI87" s="17" t="s">
        <v>77</v>
      </c>
    </row>
    <row r="88" spans="1:43" ht="15.75" hidden="1" outlineLevel="1" x14ac:dyDescent="0.3">
      <c r="A88" s="247"/>
      <c r="B88" s="17" t="s">
        <v>6</v>
      </c>
      <c r="C88" s="17"/>
      <c r="D88" s="252"/>
      <c r="E88" s="253"/>
      <c r="F88" s="253"/>
      <c r="G88" s="253"/>
      <c r="H88" s="253"/>
      <c r="I88" s="254"/>
      <c r="J88" s="24">
        <f t="shared" si="89"/>
        <v>0</v>
      </c>
      <c r="K88" s="24">
        <f t="shared" ref="K88" si="95">K$13*IF(K21&gt;=15,
  IF(K21&lt;65,0.02*K21-0.3,
   IF((K21&lt;175),(-K21+175)/110,0)),0)</f>
        <v>0</v>
      </c>
      <c r="L88" s="24">
        <f t="shared" si="89"/>
        <v>0</v>
      </c>
      <c r="M88" s="24">
        <f t="shared" si="89"/>
        <v>0</v>
      </c>
      <c r="N88" s="24">
        <f t="shared" si="89"/>
        <v>0</v>
      </c>
      <c r="O88" s="24">
        <f>SUM(J88:N88)</f>
        <v>0</v>
      </c>
      <c r="P88" s="4"/>
      <c r="Q88" s="86">
        <f t="shared" si="91"/>
        <v>0</v>
      </c>
      <c r="R88" s="86">
        <f t="shared" ref="R88" si="96">R$13*IF(R21&gt;=15,
  IF(R21&lt;65,0.02*R21-0.3,
   IF((R21&lt;175),(-R21+175)/110,0)),0)</f>
        <v>0</v>
      </c>
      <c r="S88" s="86">
        <f t="shared" si="91"/>
        <v>0</v>
      </c>
      <c r="T88" s="86">
        <f t="shared" si="91"/>
        <v>0</v>
      </c>
      <c r="U88" s="86">
        <f t="shared" si="91"/>
        <v>0</v>
      </c>
      <c r="V88" s="86">
        <f>SUM(Q88:U88)</f>
        <v>0</v>
      </c>
      <c r="W88" s="4"/>
      <c r="X88" s="86">
        <f t="shared" si="93"/>
        <v>0</v>
      </c>
      <c r="Y88" s="86">
        <f t="shared" ref="Y88" si="97">Y$13*IF(Y21&gt;=15,
  IF(Y21&lt;65,0.02*Y21-0.3,
   IF((Y21&lt;175),(-Y21+175)/110,0)),0)</f>
        <v>0</v>
      </c>
      <c r="Z88" s="86">
        <f t="shared" si="93"/>
        <v>0</v>
      </c>
      <c r="AA88" s="86">
        <f t="shared" si="93"/>
        <v>0</v>
      </c>
      <c r="AB88" s="86">
        <f t="shared" si="93"/>
        <v>0</v>
      </c>
      <c r="AC88" s="86">
        <f>SUM(X88:AB88)</f>
        <v>0</v>
      </c>
      <c r="AD88" s="4"/>
      <c r="AE88" s="46">
        <v>1.095348185707545E-2</v>
      </c>
      <c r="AF88" s="26">
        <f>$O$88*$AE88</f>
        <v>0</v>
      </c>
      <c r="AG88" s="26">
        <f>$V$88*$AE88</f>
        <v>0</v>
      </c>
      <c r="AH88" s="26">
        <f>$AC$88*$AE88</f>
        <v>0</v>
      </c>
      <c r="AI88" s="17" t="s">
        <v>76</v>
      </c>
    </row>
    <row r="89" spans="1:43" ht="15.75" hidden="1" outlineLevel="1" x14ac:dyDescent="0.3">
      <c r="A89" s="247"/>
      <c r="B89" s="17" t="s">
        <v>7</v>
      </c>
      <c r="C89" s="17"/>
      <c r="D89" s="252"/>
      <c r="E89" s="253"/>
      <c r="F89" s="253"/>
      <c r="G89" s="253"/>
      <c r="H89" s="253"/>
      <c r="I89" s="254"/>
      <c r="J89" s="24">
        <f t="shared" si="89"/>
        <v>0</v>
      </c>
      <c r="K89" s="24">
        <f t="shared" ref="K89" si="98">K$13*IF(K22&gt;=15,
  IF(K22&lt;65,0.02*K22-0.3,
   IF((K22&lt;175),(-K22+175)/110,0)),0)</f>
        <v>0</v>
      </c>
      <c r="L89" s="24">
        <f t="shared" si="89"/>
        <v>0</v>
      </c>
      <c r="M89" s="24">
        <f t="shared" si="89"/>
        <v>0</v>
      </c>
      <c r="N89" s="24">
        <f t="shared" si="89"/>
        <v>0</v>
      </c>
      <c r="O89" s="24">
        <f>SUM(J89:N89)</f>
        <v>0</v>
      </c>
      <c r="P89" s="4"/>
      <c r="Q89" s="86">
        <f t="shared" si="91"/>
        <v>0</v>
      </c>
      <c r="R89" s="86">
        <f t="shared" ref="R89" si="99">R$13*IF(R22&gt;=15,
  IF(R22&lt;65,0.02*R22-0.3,
   IF((R22&lt;175),(-R22+175)/110,0)),0)</f>
        <v>0</v>
      </c>
      <c r="S89" s="86">
        <f t="shared" si="91"/>
        <v>0</v>
      </c>
      <c r="T89" s="86">
        <f t="shared" si="91"/>
        <v>0</v>
      </c>
      <c r="U89" s="86">
        <f t="shared" si="91"/>
        <v>0</v>
      </c>
      <c r="V89" s="86">
        <f>SUM(Q89:U89)</f>
        <v>0</v>
      </c>
      <c r="W89" s="4"/>
      <c r="X89" s="86">
        <f t="shared" si="93"/>
        <v>0</v>
      </c>
      <c r="Y89" s="86">
        <f t="shared" ref="Y89" si="100">Y$13*IF(Y22&gt;=15,
  IF(Y22&lt;65,0.02*Y22-0.3,
   IF((Y22&lt;175),(-Y22+175)/110,0)),0)</f>
        <v>0</v>
      </c>
      <c r="Z89" s="86">
        <f t="shared" si="93"/>
        <v>0</v>
      </c>
      <c r="AA89" s="86">
        <f t="shared" si="93"/>
        <v>0</v>
      </c>
      <c r="AB89" s="86">
        <f t="shared" si="93"/>
        <v>0</v>
      </c>
      <c r="AC89" s="86">
        <f>SUM(X89:AB89)</f>
        <v>0</v>
      </c>
      <c r="AD89" s="4"/>
      <c r="AE89" s="46">
        <v>1.095348185707545E-2</v>
      </c>
      <c r="AF89" s="26">
        <f>$O$89*$AE89</f>
        <v>0</v>
      </c>
      <c r="AG89" s="26">
        <f>$V$89*$AE89</f>
        <v>0</v>
      </c>
      <c r="AH89" s="26">
        <f>$AC$89*$AE89</f>
        <v>0</v>
      </c>
      <c r="AI89" s="17" t="s">
        <v>75</v>
      </c>
    </row>
    <row r="90" spans="1:43" ht="15.6" hidden="1" customHeight="1" outlineLevel="1" x14ac:dyDescent="0.3">
      <c r="A90" s="248"/>
      <c r="B90" s="17" t="s">
        <v>8</v>
      </c>
      <c r="C90" s="17"/>
      <c r="D90" s="255"/>
      <c r="E90" s="256"/>
      <c r="F90" s="256"/>
      <c r="G90" s="256"/>
      <c r="H90" s="256"/>
      <c r="I90" s="257"/>
      <c r="J90" s="24">
        <f t="shared" si="89"/>
        <v>0</v>
      </c>
      <c r="K90" s="24">
        <f t="shared" ref="K90" si="101">K$13*IF(K23&gt;=15,
  IF(K23&lt;65,0.02*K23-0.3,
   IF((K23&lt;175),(-K23+175)/110,0)),0)</f>
        <v>0</v>
      </c>
      <c r="L90" s="24">
        <f t="shared" si="89"/>
        <v>0</v>
      </c>
      <c r="M90" s="24">
        <f t="shared" si="89"/>
        <v>0</v>
      </c>
      <c r="N90" s="24">
        <f t="shared" si="89"/>
        <v>0</v>
      </c>
      <c r="O90" s="24">
        <f>SUM(J90:N90)</f>
        <v>0</v>
      </c>
      <c r="P90" s="4"/>
      <c r="Q90" s="86">
        <f t="shared" si="91"/>
        <v>0</v>
      </c>
      <c r="R90" s="86">
        <f t="shared" ref="R90" si="102">R$13*IF(R23&gt;=15,
  IF(R23&lt;65,0.02*R23-0.3,
   IF((R23&lt;175),(-R23+175)/110,0)),0)</f>
        <v>0</v>
      </c>
      <c r="S90" s="86">
        <f t="shared" si="91"/>
        <v>0</v>
      </c>
      <c r="T90" s="86">
        <f t="shared" si="91"/>
        <v>0</v>
      </c>
      <c r="U90" s="86">
        <f t="shared" si="91"/>
        <v>0</v>
      </c>
      <c r="V90" s="86">
        <f>SUM(Q90:U90)</f>
        <v>0</v>
      </c>
      <c r="W90" s="4"/>
      <c r="X90" s="86">
        <f t="shared" si="93"/>
        <v>0</v>
      </c>
      <c r="Y90" s="86">
        <f t="shared" ref="Y90" si="103">Y$13*IF(Y23&gt;=15,
  IF(Y23&lt;65,0.02*Y23-0.3,
   IF((Y23&lt;175),(-Y23+175)/110,0)),0)</f>
        <v>0</v>
      </c>
      <c r="Z90" s="86">
        <f t="shared" si="93"/>
        <v>0</v>
      </c>
      <c r="AA90" s="86">
        <f t="shared" si="93"/>
        <v>0</v>
      </c>
      <c r="AB90" s="86">
        <f t="shared" si="93"/>
        <v>0</v>
      </c>
      <c r="AC90" s="86">
        <f>SUM(X90:AB90)</f>
        <v>0</v>
      </c>
      <c r="AD90" s="4"/>
      <c r="AE90" s="46">
        <v>1.095348185707545E-2</v>
      </c>
      <c r="AF90" s="26">
        <f>$O$90*$AE90</f>
        <v>0</v>
      </c>
      <c r="AG90" s="26">
        <f>$V$90*$AE90</f>
        <v>0</v>
      </c>
      <c r="AH90" s="26">
        <f>$AC$90*$AE90</f>
        <v>0</v>
      </c>
      <c r="AI90" s="17" t="s">
        <v>74</v>
      </c>
    </row>
    <row r="91" spans="1:43" ht="13.5" hidden="1" outlineLevel="1" x14ac:dyDescent="0.25">
      <c r="A91" s="243" t="str">
        <f>IF($O$1="de","D4.2: Verschleiss im Gleisbogen",
IF($O$1="fr","D4.2: Usure dans les courbes",
IF($O$1="it","D4.2: Usura in curva",
IF($O$1="en","D4.2: Wear on curved track","select language in cell N1"))))</f>
        <v>D4.2: Verschleiss im Gleisbogen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5"/>
      <c r="O91" s="56" t="str">
        <f>IF($O$1="de","Summe",
IF($O$1="fr","Somme",
IF($O$1="it","Somma",
IF($O$1="en","Sum","select language in cell N1"))))</f>
        <v>Summe</v>
      </c>
      <c r="P91" s="4"/>
      <c r="Q91" s="90"/>
      <c r="R91" s="91"/>
      <c r="S91" s="91"/>
      <c r="T91" s="91"/>
      <c r="U91" s="92"/>
      <c r="V91" s="85" t="str">
        <f>O91</f>
        <v>Summe</v>
      </c>
      <c r="W91" s="4"/>
      <c r="X91" s="90"/>
      <c r="Y91" s="91"/>
      <c r="Z91" s="91"/>
      <c r="AA91" s="91"/>
      <c r="AB91" s="92"/>
      <c r="AC91" s="85" t="str">
        <f>V91</f>
        <v>Summe</v>
      </c>
      <c r="AD91" s="4"/>
      <c r="AE91" s="51"/>
      <c r="AF91" s="33"/>
      <c r="AG91" s="33"/>
      <c r="AH91" s="33"/>
      <c r="AI91" s="34"/>
    </row>
    <row r="92" spans="1:43" ht="15.75" hidden="1" outlineLevel="1" x14ac:dyDescent="0.3">
      <c r="A92" s="246" t="str">
        <f>IF($O$1="de","Schädigungspotential D4.2 der führenden Radsätze aufgrund Reibarbeit im Bogen",
IF($O$1="fr","Dégât potentiel D4.2 des essieux avant dû au frottement dans les courbes",
IF($O$1="it","Potenziale di danneggiamento D4.2 delle sale montate di guida in seguito all’attrito in curva",
IF($O$1="en","Damage potential D4.2 of leading wheelsets due to friction work on curves","select language in cell N1"))))</f>
        <v>Schädigungspotential D4.2 der führenden Radsätze aufgrund Reibarbeit im Bogen</v>
      </c>
      <c r="B92" s="17" t="s">
        <v>1</v>
      </c>
      <c r="C92" s="17"/>
      <c r="D92" s="249" t="s">
        <v>209</v>
      </c>
      <c r="E92" s="250"/>
      <c r="F92" s="250"/>
      <c r="G92" s="250"/>
      <c r="H92" s="250"/>
      <c r="I92" s="251"/>
      <c r="J92" s="24">
        <f t="shared" ref="J92:N95" si="104">J$13*IF(J20&gt;=65,(J20-65)/110,0)</f>
        <v>0</v>
      </c>
      <c r="K92" s="24">
        <f t="shared" ref="K92" si="105">K$13*IF(K20&gt;=65,(K20-65)/110,0)</f>
        <v>0</v>
      </c>
      <c r="L92" s="24">
        <f t="shared" si="104"/>
        <v>0</v>
      </c>
      <c r="M92" s="24">
        <f t="shared" si="104"/>
        <v>0</v>
      </c>
      <c r="N92" s="24">
        <f t="shared" si="104"/>
        <v>0</v>
      </c>
      <c r="O92" s="24">
        <f>SUM(J92:N92)</f>
        <v>0</v>
      </c>
      <c r="P92" s="4"/>
      <c r="Q92" s="86">
        <f t="shared" ref="Q92:U95" si="106">Q$13*IF(Q20&gt;=65,(Q20-65)/110,0)</f>
        <v>0</v>
      </c>
      <c r="R92" s="86">
        <f t="shared" ref="R92" si="107">R$13*IF(R20&gt;=65,(R20-65)/110,0)</f>
        <v>0</v>
      </c>
      <c r="S92" s="86">
        <f t="shared" si="106"/>
        <v>0</v>
      </c>
      <c r="T92" s="86">
        <f t="shared" si="106"/>
        <v>0</v>
      </c>
      <c r="U92" s="86">
        <f t="shared" si="106"/>
        <v>0</v>
      </c>
      <c r="V92" s="86">
        <f>SUM(Q92:U92)</f>
        <v>0</v>
      </c>
      <c r="W92" s="4"/>
      <c r="X92" s="86">
        <f t="shared" ref="X92:AB95" si="108">X$13*IF(X20&gt;=65,(X20-65)/110,0)</f>
        <v>0</v>
      </c>
      <c r="Y92" s="86">
        <f t="shared" ref="Y92" si="109">Y$13*IF(Y20&gt;=65,(Y20-65)/110,0)</f>
        <v>0</v>
      </c>
      <c r="Z92" s="86">
        <f t="shared" si="108"/>
        <v>0</v>
      </c>
      <c r="AA92" s="86">
        <f t="shared" si="108"/>
        <v>0</v>
      </c>
      <c r="AB92" s="86">
        <f t="shared" si="108"/>
        <v>0</v>
      </c>
      <c r="AC92" s="86">
        <f>SUM(X92:AB92)</f>
        <v>0</v>
      </c>
      <c r="AD92" s="4"/>
      <c r="AE92" s="46">
        <v>5.8656594312759047E-2</v>
      </c>
      <c r="AF92" s="26">
        <f>$O$92*$AE92</f>
        <v>0</v>
      </c>
      <c r="AG92" s="26">
        <f>$V$92*$AE92</f>
        <v>0</v>
      </c>
      <c r="AH92" s="26">
        <f>$AC$92*$AE92</f>
        <v>0</v>
      </c>
      <c r="AI92" s="17" t="s">
        <v>80</v>
      </c>
    </row>
    <row r="93" spans="1:43" ht="15.75" hidden="1" outlineLevel="1" x14ac:dyDescent="0.3">
      <c r="A93" s="247"/>
      <c r="B93" s="17" t="s">
        <v>2</v>
      </c>
      <c r="C93" s="17"/>
      <c r="D93" s="252"/>
      <c r="E93" s="253"/>
      <c r="F93" s="253"/>
      <c r="G93" s="253"/>
      <c r="H93" s="253"/>
      <c r="I93" s="254"/>
      <c r="J93" s="24">
        <f t="shared" si="104"/>
        <v>0</v>
      </c>
      <c r="K93" s="24">
        <f t="shared" ref="K93" si="110">K$13*IF(K21&gt;=65,(K21-65)/110,0)</f>
        <v>0</v>
      </c>
      <c r="L93" s="24">
        <f t="shared" si="104"/>
        <v>0</v>
      </c>
      <c r="M93" s="24">
        <f t="shared" si="104"/>
        <v>0</v>
      </c>
      <c r="N93" s="24">
        <f t="shared" si="104"/>
        <v>0</v>
      </c>
      <c r="O93" s="24">
        <f>SUM(J93:N93)</f>
        <v>0</v>
      </c>
      <c r="P93" s="4"/>
      <c r="Q93" s="86">
        <f t="shared" si="106"/>
        <v>0</v>
      </c>
      <c r="R93" s="86">
        <f t="shared" ref="R93" si="111">R$13*IF(R21&gt;=65,(R21-65)/110,0)</f>
        <v>0</v>
      </c>
      <c r="S93" s="86">
        <f t="shared" si="106"/>
        <v>0</v>
      </c>
      <c r="T93" s="86">
        <f t="shared" si="106"/>
        <v>0</v>
      </c>
      <c r="U93" s="86">
        <f t="shared" si="106"/>
        <v>0</v>
      </c>
      <c r="V93" s="86">
        <f>SUM(Q93:U93)</f>
        <v>0</v>
      </c>
      <c r="W93" s="4"/>
      <c r="X93" s="86">
        <f t="shared" si="108"/>
        <v>0</v>
      </c>
      <c r="Y93" s="86">
        <f t="shared" ref="Y93" si="112">Y$13*IF(Y21&gt;=65,(Y21-65)/110,0)</f>
        <v>0</v>
      </c>
      <c r="Z93" s="86">
        <f t="shared" si="108"/>
        <v>0</v>
      </c>
      <c r="AA93" s="86">
        <f t="shared" si="108"/>
        <v>0</v>
      </c>
      <c r="AB93" s="86">
        <f t="shared" si="108"/>
        <v>0</v>
      </c>
      <c r="AC93" s="86">
        <f>SUM(X93:AB93)</f>
        <v>0</v>
      </c>
      <c r="AD93" s="4"/>
      <c r="AE93" s="46">
        <v>2.382533380779106E-2</v>
      </c>
      <c r="AF93" s="26">
        <f>$O$93*$AE93</f>
        <v>0</v>
      </c>
      <c r="AG93" s="26">
        <f>$V$93*$AE93</f>
        <v>0</v>
      </c>
      <c r="AH93" s="26">
        <f>$AC$93*$AE93</f>
        <v>0</v>
      </c>
      <c r="AI93" s="17" t="s">
        <v>79</v>
      </c>
    </row>
    <row r="94" spans="1:43" ht="15.6" hidden="1" customHeight="1" outlineLevel="1" x14ac:dyDescent="0.3">
      <c r="A94" s="247"/>
      <c r="B94" s="17" t="s">
        <v>3</v>
      </c>
      <c r="C94" s="17"/>
      <c r="D94" s="252"/>
      <c r="E94" s="253"/>
      <c r="F94" s="253"/>
      <c r="G94" s="253"/>
      <c r="H94" s="253"/>
      <c r="I94" s="254"/>
      <c r="J94" s="24">
        <f t="shared" si="104"/>
        <v>0</v>
      </c>
      <c r="K94" s="24">
        <f t="shared" ref="K94" si="113">K$13*IF(K22&gt;=65,(K22-65)/110,0)</f>
        <v>0</v>
      </c>
      <c r="L94" s="24">
        <f t="shared" si="104"/>
        <v>0</v>
      </c>
      <c r="M94" s="24">
        <f t="shared" si="104"/>
        <v>0</v>
      </c>
      <c r="N94" s="24">
        <f t="shared" si="104"/>
        <v>0</v>
      </c>
      <c r="O94" s="24">
        <f>SUM(J94:N94)</f>
        <v>0</v>
      </c>
      <c r="P94" s="4"/>
      <c r="Q94" s="86">
        <f t="shared" si="106"/>
        <v>0</v>
      </c>
      <c r="R94" s="86">
        <f t="shared" ref="R94" si="114">R$13*IF(R22&gt;=65,(R22-65)/110,0)</f>
        <v>0</v>
      </c>
      <c r="S94" s="86">
        <f t="shared" si="106"/>
        <v>0</v>
      </c>
      <c r="T94" s="86">
        <f t="shared" si="106"/>
        <v>0</v>
      </c>
      <c r="U94" s="86">
        <f t="shared" si="106"/>
        <v>0</v>
      </c>
      <c r="V94" s="86">
        <f>SUM(Q94:U94)</f>
        <v>0</v>
      </c>
      <c r="W94" s="4"/>
      <c r="X94" s="86">
        <f t="shared" si="108"/>
        <v>0</v>
      </c>
      <c r="Y94" s="86">
        <f t="shared" ref="Y94" si="115">Y$13*IF(Y22&gt;=65,(Y22-65)/110,0)</f>
        <v>0</v>
      </c>
      <c r="Z94" s="86">
        <f t="shared" si="108"/>
        <v>0</v>
      </c>
      <c r="AA94" s="86">
        <f t="shared" si="108"/>
        <v>0</v>
      </c>
      <c r="AB94" s="86">
        <f t="shared" si="108"/>
        <v>0</v>
      </c>
      <c r="AC94" s="86">
        <f>SUM(X94:AB94)</f>
        <v>0</v>
      </c>
      <c r="AD94" s="4"/>
      <c r="AE94" s="46">
        <v>2.382533380779106E-2</v>
      </c>
      <c r="AF94" s="26">
        <f>$O$94*$AE94</f>
        <v>0</v>
      </c>
      <c r="AG94" s="26">
        <f>$V$94*$AE94</f>
        <v>0</v>
      </c>
      <c r="AH94" s="26">
        <f>$AC$94*$AE94</f>
        <v>0</v>
      </c>
      <c r="AI94" s="17" t="s">
        <v>78</v>
      </c>
    </row>
    <row r="95" spans="1:43" s="2" customFormat="1" ht="16.899999999999999" hidden="1" customHeight="1" outlineLevel="1" x14ac:dyDescent="0.3">
      <c r="A95" s="248"/>
      <c r="B95" s="17" t="s">
        <v>4</v>
      </c>
      <c r="C95" s="17"/>
      <c r="D95" s="255"/>
      <c r="E95" s="256"/>
      <c r="F95" s="256"/>
      <c r="G95" s="256"/>
      <c r="H95" s="256"/>
      <c r="I95" s="257"/>
      <c r="J95" s="24">
        <f t="shared" si="104"/>
        <v>0</v>
      </c>
      <c r="K95" s="24">
        <f t="shared" ref="K95" si="116">K$13*IF(K23&gt;=65,(K23-65)/110,0)</f>
        <v>0</v>
      </c>
      <c r="L95" s="24">
        <f t="shared" si="104"/>
        <v>0</v>
      </c>
      <c r="M95" s="24">
        <f t="shared" si="104"/>
        <v>0</v>
      </c>
      <c r="N95" s="24">
        <f t="shared" si="104"/>
        <v>0</v>
      </c>
      <c r="O95" s="24">
        <f>SUM(J95:N95)</f>
        <v>0</v>
      </c>
      <c r="P95" s="4"/>
      <c r="Q95" s="86">
        <f t="shared" si="106"/>
        <v>0</v>
      </c>
      <c r="R95" s="86">
        <f t="shared" ref="R95" si="117">R$13*IF(R23&gt;=65,(R23-65)/110,0)</f>
        <v>0</v>
      </c>
      <c r="S95" s="86">
        <f t="shared" si="106"/>
        <v>0</v>
      </c>
      <c r="T95" s="86">
        <f t="shared" si="106"/>
        <v>0</v>
      </c>
      <c r="U95" s="86">
        <f t="shared" si="106"/>
        <v>0</v>
      </c>
      <c r="V95" s="86">
        <f>SUM(Q95:U95)</f>
        <v>0</v>
      </c>
      <c r="W95" s="4"/>
      <c r="X95" s="86">
        <f t="shared" si="108"/>
        <v>0</v>
      </c>
      <c r="Y95" s="86">
        <f t="shared" ref="Y95" si="118">Y$13*IF(Y23&gt;=65,(Y23-65)/110,0)</f>
        <v>0</v>
      </c>
      <c r="Z95" s="86">
        <f t="shared" si="108"/>
        <v>0</v>
      </c>
      <c r="AA95" s="86">
        <f t="shared" si="108"/>
        <v>0</v>
      </c>
      <c r="AB95" s="86">
        <f t="shared" si="108"/>
        <v>0</v>
      </c>
      <c r="AC95" s="86">
        <f>SUM(X95:AB95)</f>
        <v>0</v>
      </c>
      <c r="AD95" s="4"/>
      <c r="AE95" s="46"/>
      <c r="AF95" s="26"/>
      <c r="AG95" s="26"/>
      <c r="AH95" s="26"/>
      <c r="AI95" s="17"/>
      <c r="AP95" s="57"/>
      <c r="AQ95" s="57"/>
    </row>
    <row r="96" spans="1:43" ht="16.5" hidden="1" outlineLevel="1" x14ac:dyDescent="0.3">
      <c r="A96" s="258" t="str">
        <f>IF($O$1="de","D5: Weichenschädigung",
IF($O$1="fr","D5: dégât aux aiguilles",
IF($O$1="it","D5: danneggiamento degli scambi",
IF($O$1="en","D5: Points damage","select language in cell N1"))))</f>
        <v>D5: Weichenschädigung</v>
      </c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60"/>
      <c r="O96" s="54" t="str">
        <f>IF($O$1="de","Summe",
IF($O$1="fr","Somme",
IF($O$1="it","Somma",
IF($O$1="en","Sum","select language in cell N1"))))</f>
        <v>Summe</v>
      </c>
      <c r="P96" s="4"/>
      <c r="Q96" s="81"/>
      <c r="R96" s="81"/>
      <c r="S96" s="81"/>
      <c r="T96" s="81"/>
      <c r="U96" s="81"/>
      <c r="V96" s="81" t="str">
        <f>O96</f>
        <v>Summe</v>
      </c>
      <c r="W96" s="4"/>
      <c r="X96" s="81"/>
      <c r="Y96" s="81"/>
      <c r="Z96" s="81"/>
      <c r="AA96" s="81"/>
      <c r="AB96" s="81"/>
      <c r="AC96" s="81" t="str">
        <f>V96</f>
        <v>Summe</v>
      </c>
      <c r="AD96" s="4"/>
      <c r="AE96" s="48"/>
      <c r="AF96" s="28"/>
      <c r="AG96" s="28"/>
      <c r="AH96" s="28"/>
      <c r="AI96" s="25"/>
    </row>
    <row r="97" spans="1:41" ht="13.5" hidden="1" outlineLevel="1" x14ac:dyDescent="0.25">
      <c r="A97" s="39" t="str">
        <f>IF($O$1="de","Schädigungspotential D5 der führenden Radsätze in Weichen",
IF($O$1="fr","Dégât potentiel D5 des essieux avant sur les aiguilles",
IF($O$1="it","Potenziale di danneggiamento D5 delle sale montate di guida sugli scambi",
IF($O$1="en","Damage potential D5 of leading wheelsets on points","select language in cell N1"))))</f>
        <v>Schädigungspotential D5 der führenden Radsätze in Weichen</v>
      </c>
      <c r="B97" s="40" t="s">
        <v>0</v>
      </c>
      <c r="C97" s="40"/>
      <c r="D97" s="261" t="s">
        <v>149</v>
      </c>
      <c r="E97" s="262"/>
      <c r="F97" s="262"/>
      <c r="G97" s="262"/>
      <c r="H97" s="262"/>
      <c r="I97" s="263"/>
      <c r="J97" s="41">
        <f>IF(J24&lt;&gt;0,J$13*SQRT(0.5*J$49^2+0.5*J$24^2),0)</f>
        <v>0</v>
      </c>
      <c r="K97" s="41">
        <f>IF(K24&lt;&gt;0,K$13*SQRT(0.5*K$49^2+0.5*K$24^2),0)</f>
        <v>0</v>
      </c>
      <c r="L97" s="41">
        <f>IF(L24&lt;&gt;0,L$13*SQRT(0.5*L$49^2+0.5*L$24^2),0)</f>
        <v>0</v>
      </c>
      <c r="M97" s="41">
        <f>IF(M24&lt;&gt;0,M$13*SQRT(0.5*M$49^2+0.5*M$24^2),0)</f>
        <v>0</v>
      </c>
      <c r="N97" s="41">
        <f>IF(N24&lt;&gt;0,N$13*SQRT(0.5*N$49^2+0.5*N$24^2),0)</f>
        <v>0</v>
      </c>
      <c r="O97" s="41">
        <f>SUM(J97:N97)</f>
        <v>0</v>
      </c>
      <c r="P97" s="4"/>
      <c r="Q97" s="87">
        <f>IF(Q24&lt;&gt;0,Q$13*SQRT(0.5*Q$49^2+0.5*Q$24^2),0)</f>
        <v>0</v>
      </c>
      <c r="R97" s="87">
        <f>IF(R24&lt;&gt;0,R$13*SQRT(0.5*R$49^2+0.5*R$24^2),0)</f>
        <v>0</v>
      </c>
      <c r="S97" s="87">
        <f>IF(S24&lt;&gt;0,S$13*SQRT(0.5*S$49^2+0.5*S$24^2),0)</f>
        <v>0</v>
      </c>
      <c r="T97" s="87">
        <f>IF(T24&lt;&gt;0,T$13*SQRT(0.5*T$49^2+0.5*T$24^2),0)</f>
        <v>0</v>
      </c>
      <c r="U97" s="87">
        <f>IF(U24&lt;&gt;0,U$13*SQRT(0.5*U$49^2+0.5*U$24^2),0)</f>
        <v>0</v>
      </c>
      <c r="V97" s="87">
        <f>SUM(Q97:U97)</f>
        <v>0</v>
      </c>
      <c r="W97" s="4"/>
      <c r="X97" s="87">
        <f>IF(X24&lt;&gt;0,X$13*SQRT(0.5*X$49^2+0.5*X$24^2),0)</f>
        <v>0</v>
      </c>
      <c r="Y97" s="87">
        <f>IF(Y24&lt;&gt;0,Y$13*SQRT(0.5*Y$49^2+0.5*Y$24^2),0)</f>
        <v>0</v>
      </c>
      <c r="Z97" s="87">
        <f>IF(Z24&lt;&gt;0,Z$13*SQRT(0.5*Z$49^2+0.5*Z$24^2),0)</f>
        <v>0</v>
      </c>
      <c r="AA97" s="87">
        <f>IF(AA24&lt;&gt;0,AA$13*SQRT(0.5*AA$49^2+0.5*AA$24^2),0)</f>
        <v>0</v>
      </c>
      <c r="AB97" s="87">
        <f>IF(AB24&lt;&gt;0,AB$13*SQRT(0.5*AB$49^2+0.5*AB$24^2),0)</f>
        <v>0</v>
      </c>
      <c r="AC97" s="87">
        <f>SUM(X97:AB97)</f>
        <v>0</v>
      </c>
      <c r="AD97" s="4"/>
      <c r="AE97" s="46">
        <v>2.3451886875707192E-4</v>
      </c>
      <c r="AF97" s="26">
        <f>$O$97*$AE97</f>
        <v>0</v>
      </c>
      <c r="AG97" s="26">
        <f>$V$97*$AE97</f>
        <v>0</v>
      </c>
      <c r="AH97" s="26">
        <f>$AC$97*$AE97</f>
        <v>0</v>
      </c>
      <c r="AI97" s="17" t="s">
        <v>81</v>
      </c>
    </row>
    <row r="98" spans="1:41" hidden="1" outlineLevel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</row>
    <row r="99" spans="1:41" s="38" customFormat="1" hidden="1" outlineLevel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7"/>
      <c r="AK99" s="57"/>
      <c r="AL99" s="57"/>
      <c r="AM99" s="57"/>
      <c r="AN99" s="57"/>
      <c r="AO99" s="57"/>
    </row>
    <row r="100" spans="1:41" x14ac:dyDescent="0.2">
      <c r="A100" s="1"/>
    </row>
    <row r="101" spans="1:41" ht="18" x14ac:dyDescent="0.25">
      <c r="A101" s="179" t="str">
        <f>IF($O$1="de","Berechnung der Fahrzeugbezugskosten",
IF($O$1="fr","Calcul des coûts de référence du véhicule",
IF($O$1="it","Calcolo dei costi di riferimento del veicolo",
IF($O$1="en","Calculation of vehicle reference costs","select language in cell N1"))))</f>
        <v>Berechnung der Fahrzeugbezugskosten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</row>
    <row r="102" spans="1:41" ht="22.5" x14ac:dyDescent="0.2">
      <c r="A102" s="58"/>
      <c r="B102" s="58"/>
      <c r="C102" s="58"/>
      <c r="D102" s="125" t="str">
        <f>IF($O$1="de","Summanden",
IF($O$1="fr","termes de l'addition",
IF($O$1="it","addendi",
IF($O$1="en","summands","select language in cell N1"))))</f>
        <v>Summanden</v>
      </c>
      <c r="E102" s="126"/>
      <c r="F102" s="126"/>
      <c r="G102" s="126"/>
      <c r="H102" s="126"/>
      <c r="I102" s="126"/>
      <c r="J102" s="183" t="str">
        <f>IF($O$1="de","nominell",
IF($O$1="fr","nominal",
IF($O$1="it","nominale",
IF($O$1="en","nominal","select language in cell N1"))))</f>
        <v>nominell</v>
      </c>
      <c r="K102" s="184"/>
      <c r="L102" s="184" t="str">
        <f>IF($O$1="de","untere Grenze",
IF($O$1="fr","limite inférieure",
IF($O$1="it","limite inferiore",
IF($O$1="en","lower limit","select language in cell N1"))))</f>
        <v>untere Grenze</v>
      </c>
      <c r="M102" s="215" t="str">
        <f>IF($O$1="de","obere Grenze",
IF($O$1="fr","limite supérieure",
IF($O$1="it","limite superiore",
IF($O$1="en","upper limit","select language in cell N1"))))</f>
        <v>obere Grenze</v>
      </c>
      <c r="N102" s="218" t="str">
        <f>IF($O$1="de","50% obere Grenze",
IF($O$1="fr","50% de la limite supérieure",
IF($O$1="it","50% limite superiore",
IF($O$1="en","50% upper limit","select language in cell N1"))))</f>
        <v>50% obere Grenze</v>
      </c>
      <c r="O102" s="195" t="str">
        <f>IF($O$1="de","definitiv",
IF($O$1="fr","définitif",
IF($O$1="it","definitivo",
IF($O$1="en","definitive","select language in cell N1"))))</f>
        <v>definitiv</v>
      </c>
    </row>
    <row r="103" spans="1:41" ht="16.5" thickBot="1" x14ac:dyDescent="0.35">
      <c r="A103" s="151" t="s">
        <v>144</v>
      </c>
      <c r="B103" s="151" t="s">
        <v>193</v>
      </c>
      <c r="C103" s="154" t="s">
        <v>163</v>
      </c>
      <c r="D103" s="42"/>
      <c r="E103" s="42"/>
      <c r="F103" s="42" t="s">
        <v>73</v>
      </c>
      <c r="G103" s="42"/>
      <c r="H103" s="42"/>
      <c r="I103" s="42"/>
      <c r="J103" s="130">
        <f>ROUND(AF84,7)</f>
        <v>0</v>
      </c>
      <c r="K103" s="181"/>
      <c r="L103" s="181"/>
      <c r="M103" s="216"/>
      <c r="N103" s="185"/>
      <c r="O103" s="191">
        <f>J103</f>
        <v>0</v>
      </c>
    </row>
    <row r="104" spans="1:41" ht="14.25" x14ac:dyDescent="0.25">
      <c r="A104" s="152" t="s">
        <v>44</v>
      </c>
      <c r="B104" s="152" t="s">
        <v>171</v>
      </c>
      <c r="C104" s="155" t="s">
        <v>163</v>
      </c>
      <c r="D104" s="18" t="s">
        <v>121</v>
      </c>
      <c r="E104" s="18" t="s">
        <v>122</v>
      </c>
      <c r="F104" s="18" t="s">
        <v>73</v>
      </c>
      <c r="G104" s="18"/>
      <c r="H104" s="18"/>
      <c r="I104" s="18" t="s">
        <v>81</v>
      </c>
      <c r="J104" s="52" t="str">
        <f>IF($J$8&gt;0,ROUND(AF66+AF77+AF$84+AF$97,7),"")</f>
        <v/>
      </c>
      <c r="K104" s="181"/>
      <c r="L104" s="181" t="str">
        <f>IF($J$8&gt;0,ROUND(AG66+AG77+AG$84+AG$97,7),"")</f>
        <v/>
      </c>
      <c r="M104" s="216" t="str">
        <f>IF($J$8&gt;0,ROUND(AH66+AH77+AH$84+AH$97,7),"")</f>
        <v/>
      </c>
      <c r="N104" s="185" t="str">
        <f>IF($J$8&gt;0,J104+0.5*(M104-J104),"")</f>
        <v/>
      </c>
      <c r="O104" s="192" t="str">
        <f>IF(ISERROR(INDEX(Check!$E$8:$E$5002,MATCH("ü",Check!$O$8:$O$5002,0))),J104,INDEX(Check!$E$8:$E$5002,MATCH("ü",Check!$O$8:$O$5002,0)))</f>
        <v/>
      </c>
    </row>
    <row r="105" spans="1:41" ht="14.25" x14ac:dyDescent="0.25">
      <c r="A105" s="152" t="s">
        <v>45</v>
      </c>
      <c r="B105" s="152" t="s">
        <v>172</v>
      </c>
      <c r="C105" s="155" t="s">
        <v>163</v>
      </c>
      <c r="D105" s="18" t="s">
        <v>123</v>
      </c>
      <c r="E105" s="18" t="s">
        <v>124</v>
      </c>
      <c r="F105" s="18" t="s">
        <v>73</v>
      </c>
      <c r="G105" s="18"/>
      <c r="H105" s="18"/>
      <c r="I105" s="18" t="s">
        <v>81</v>
      </c>
      <c r="J105" s="52" t="str">
        <f>IF($J$8&gt;80,ROUND(AF67+AF78+AF$84+AF$97,7),"")</f>
        <v/>
      </c>
      <c r="K105" s="181"/>
      <c r="L105" s="181" t="str">
        <f>IF($J$8&gt;80,ROUND(AG67+AG78+AG$84+AG$97,7),"")</f>
        <v/>
      </c>
      <c r="M105" s="216" t="str">
        <f>IF($J$8&gt;80,ROUND(AH67+AH78+AH$84+AH$97,7),"")</f>
        <v/>
      </c>
      <c r="N105" s="185" t="str">
        <f>IF($J$8&gt;80,J105+0.5*(M105-J105),"")</f>
        <v/>
      </c>
      <c r="O105" s="192" t="str">
        <f>IF(ISERROR(INDEX(Check!$F$8:$F$5002,MATCH("ü",Check!$O$8:$O$5002,0))),J105,INDEX(Check!$F$8:$F$5002,MATCH("ü",Check!$O$8:$O$5002,0)))</f>
        <v/>
      </c>
    </row>
    <row r="106" spans="1:41" ht="14.25" x14ac:dyDescent="0.25">
      <c r="A106" s="152" t="s">
        <v>46</v>
      </c>
      <c r="B106" s="152" t="s">
        <v>173</v>
      </c>
      <c r="C106" s="155" t="s">
        <v>163</v>
      </c>
      <c r="D106" s="18" t="s">
        <v>125</v>
      </c>
      <c r="E106" s="18" t="s">
        <v>126</v>
      </c>
      <c r="F106" s="18" t="s">
        <v>73</v>
      </c>
      <c r="G106" s="18"/>
      <c r="H106" s="18"/>
      <c r="I106" s="18" t="s">
        <v>81</v>
      </c>
      <c r="J106" s="52" t="str">
        <f>IF($J$8&gt;100,ROUND(AF68+AF79+AF$84+AF$97,7),"")</f>
        <v/>
      </c>
      <c r="K106" s="181"/>
      <c r="L106" s="181" t="str">
        <f>IF($J$8&gt;100,ROUND(AG68+AG79+AG$84+AG$97,7),"")</f>
        <v/>
      </c>
      <c r="M106" s="216" t="str">
        <f>IF($J$8&gt;100,ROUND(AH68+AH79+AH$84+AH$97,7),"")</f>
        <v/>
      </c>
      <c r="N106" s="185" t="str">
        <f>IF($J$8&gt;100,J106+0.5*(M106-J106),"")</f>
        <v/>
      </c>
      <c r="O106" s="192" t="str">
        <f>IF(ISERROR(INDEX(Check!$G$8:$G$5002,MATCH("ü",Check!$O$8:$O$5002,0))),J106,INDEX(Check!$G$8:$G$5002,MATCH("ü",Check!$O$8:$O$5002,0)))</f>
        <v/>
      </c>
    </row>
    <row r="107" spans="1:41" ht="14.25" x14ac:dyDescent="0.25">
      <c r="A107" s="152" t="s">
        <v>47</v>
      </c>
      <c r="B107" s="152" t="s">
        <v>174</v>
      </c>
      <c r="C107" s="155" t="s">
        <v>163</v>
      </c>
      <c r="D107" s="18" t="s">
        <v>127</v>
      </c>
      <c r="E107" s="18" t="s">
        <v>128</v>
      </c>
      <c r="F107" s="18" t="s">
        <v>73</v>
      </c>
      <c r="G107" s="18"/>
      <c r="H107" s="18"/>
      <c r="I107" s="18" t="s">
        <v>81</v>
      </c>
      <c r="J107" s="52" t="str">
        <f>IF($J$8&gt;120,ROUND(AF69+AF80+AF$84+AF$97,7),"")</f>
        <v/>
      </c>
      <c r="K107" s="181"/>
      <c r="L107" s="181" t="str">
        <f>IF($J$8&gt;120,ROUND(AG69+AG80+AG$84+AG$97,7),"")</f>
        <v/>
      </c>
      <c r="M107" s="216" t="str">
        <f>IF($J$8&gt;120,ROUND(AH69+AH80+AH$84+AH$97,7),"")</f>
        <v/>
      </c>
      <c r="N107" s="185" t="str">
        <f>IF($J$8&gt;120,J107+0.5*(M107-J107),"")</f>
        <v/>
      </c>
      <c r="O107" s="192" t="str">
        <f>IF(ISERROR(INDEX(Check!$H$8:$H$5002,MATCH("ü",Check!$O$8:$O$5002,0))),J107,INDEX(Check!$H$8:$H$5002,MATCH("ü",Check!$O$8:$O$5002,0)))</f>
        <v/>
      </c>
    </row>
    <row r="108" spans="1:41" ht="14.25" x14ac:dyDescent="0.25">
      <c r="A108" s="152" t="s">
        <v>48</v>
      </c>
      <c r="B108" s="152" t="s">
        <v>175</v>
      </c>
      <c r="C108" s="155" t="s">
        <v>163</v>
      </c>
      <c r="D108" s="18" t="s">
        <v>129</v>
      </c>
      <c r="E108" s="18" t="s">
        <v>130</v>
      </c>
      <c r="F108" s="18" t="s">
        <v>73</v>
      </c>
      <c r="G108" s="18"/>
      <c r="H108" s="18"/>
      <c r="I108" s="18" t="s">
        <v>81</v>
      </c>
      <c r="J108" s="52" t="str">
        <f>IF($J$8&gt;140,ROUND(AF70+AF81+AF$84+AF$97,7),"")</f>
        <v/>
      </c>
      <c r="K108" s="181"/>
      <c r="L108" s="181" t="str">
        <f>IF($J$8&gt;140,ROUND(AG70+AG81+AG$84+AG$97,7),"")</f>
        <v/>
      </c>
      <c r="M108" s="216" t="str">
        <f>IF($J$8&gt;140,ROUND(AH70+AH81+AH$84+AH$97,7),"")</f>
        <v/>
      </c>
      <c r="N108" s="185" t="str">
        <f>IF($J$8&gt;140,J108+0.5*(M108-J108),"")</f>
        <v/>
      </c>
      <c r="O108" s="192" t="str">
        <f>IF(ISERROR(INDEX(Check!$I$8:$I$5002,MATCH("ü",Check!$O$8:$O$5002,0))),J108,INDEX(Check!$I$8:$I$5002,MATCH("ü",Check!$O$8:$O$5002,0)))</f>
        <v/>
      </c>
    </row>
    <row r="109" spans="1:41" ht="15" thickBot="1" x14ac:dyDescent="0.3">
      <c r="A109" s="153" t="s">
        <v>93</v>
      </c>
      <c r="B109" s="153" t="s">
        <v>176</v>
      </c>
      <c r="C109" s="154" t="s">
        <v>163</v>
      </c>
      <c r="D109" s="42" t="s">
        <v>131</v>
      </c>
      <c r="E109" s="42" t="s">
        <v>132</v>
      </c>
      <c r="F109" s="42" t="s">
        <v>73</v>
      </c>
      <c r="G109" s="42"/>
      <c r="H109" s="42"/>
      <c r="I109" s="42" t="s">
        <v>81</v>
      </c>
      <c r="J109" s="52" t="str">
        <f>IF($J$8&gt;160,ROUND(AF71+AF82+AF$84+AF$97,7),"")</f>
        <v/>
      </c>
      <c r="K109" s="181"/>
      <c r="L109" s="181" t="str">
        <f>IF($J$8&gt;160,ROUND(AG71+AG82+AG$84+AG$97,7),"")</f>
        <v/>
      </c>
      <c r="M109" s="216" t="str">
        <f>IF($J$8&gt;160,ROUND(AH71+AH82+AH$84+AH$97,7),"")</f>
        <v/>
      </c>
      <c r="N109" s="185" t="str">
        <f>IF($J$8&gt;160,J109+0.5*(M109-J109),"")</f>
        <v/>
      </c>
      <c r="O109" s="192" t="str">
        <f>IF(ISERROR(INDEX(Check!$J$8:$J$5002,MATCH("ü",Check!$O$8:$O$5002,0))),J109,INDEX(Check!$J$8:$J$5002,MATCH("ü",Check!$O$8:$O$5002,0)))</f>
        <v/>
      </c>
    </row>
    <row r="110" spans="1:41" ht="14.25" x14ac:dyDescent="0.25">
      <c r="A110" s="152" t="s">
        <v>52</v>
      </c>
      <c r="B110" s="152" t="s">
        <v>166</v>
      </c>
      <c r="C110" s="155" t="s">
        <v>163</v>
      </c>
      <c r="D110" s="18" t="s">
        <v>141</v>
      </c>
      <c r="E110" s="18"/>
      <c r="F110" s="18"/>
      <c r="G110" s="18" t="s">
        <v>142</v>
      </c>
      <c r="H110" s="18" t="s">
        <v>143</v>
      </c>
      <c r="I110" s="18" t="s">
        <v>81</v>
      </c>
      <c r="J110" s="53">
        <f t="shared" ref="J110:J113" si="119">ROUND(AF72+AF87+AF92+AF$97,7)</f>
        <v>0</v>
      </c>
      <c r="K110" s="182"/>
      <c r="L110" s="182">
        <f>IF(ROUND(AG72+AG87+AG92+AG$97,7)&lt;J110,ROUND(AG72+AG87+AG92+AG$97,7),J110)</f>
        <v>0</v>
      </c>
      <c r="M110" s="217">
        <f>IF(ROUND(AH72+AH87+AH92+AH$97,7)&gt;J110,ROUND(AH72+AH87+AH92+AH$97,7),J110)</f>
        <v>0</v>
      </c>
      <c r="N110" s="185">
        <f>J110+0.5*(M110-J110)</f>
        <v>0</v>
      </c>
      <c r="O110" s="193">
        <f>IF(ISERROR(INDEX(Check!$K$8:$K$5002,MATCH("ü",Check!$O$8:$O$5002,0))),J110,INDEX(Check!$K$8:$K$5002,MATCH("ü",Check!$O$8:$O$5002,0)))</f>
        <v>0</v>
      </c>
    </row>
    <row r="111" spans="1:41" ht="14.25" x14ac:dyDescent="0.25">
      <c r="A111" s="152" t="s">
        <v>51</v>
      </c>
      <c r="B111" s="152" t="s">
        <v>165</v>
      </c>
      <c r="C111" s="155" t="s">
        <v>163</v>
      </c>
      <c r="D111" s="18" t="s">
        <v>138</v>
      </c>
      <c r="E111" s="18"/>
      <c r="F111" s="18"/>
      <c r="G111" s="18" t="s">
        <v>139</v>
      </c>
      <c r="H111" s="18" t="s">
        <v>140</v>
      </c>
      <c r="I111" s="18" t="s">
        <v>81</v>
      </c>
      <c r="J111" s="53">
        <f t="shared" si="119"/>
        <v>0</v>
      </c>
      <c r="K111" s="182"/>
      <c r="L111" s="182">
        <f>IF(ROUND(AG73+AG88+AG93+AG$97,7)&lt;J111,ROUND(AG73+AG88+AG93+AG$97,7),J111)</f>
        <v>0</v>
      </c>
      <c r="M111" s="217">
        <f t="shared" ref="M111:M113" si="120">IF(ROUND(AH73+AH88+AH93+AH$97,7)&gt;J111,ROUND(AH73+AH88+AH93+AH$97,7),J111)</f>
        <v>0</v>
      </c>
      <c r="N111" s="185">
        <f t="shared" ref="N111:N113" si="121">J111+0.5*(M111-J111)</f>
        <v>0</v>
      </c>
      <c r="O111" s="193">
        <f>IF(ISERROR(INDEX(Check!$L$8:$L$5002,MATCH("ü",Check!$O$8:$O$5002,0))),J111,INDEX(Check!$L$8:$L$5002,MATCH("ü",Check!$O$8:$O$5002,0)))</f>
        <v>0</v>
      </c>
    </row>
    <row r="112" spans="1:41" ht="14.25" x14ac:dyDescent="0.25">
      <c r="A112" s="152" t="s">
        <v>50</v>
      </c>
      <c r="B112" s="152" t="s">
        <v>164</v>
      </c>
      <c r="C112" s="155" t="s">
        <v>163</v>
      </c>
      <c r="D112" s="18" t="s">
        <v>135</v>
      </c>
      <c r="E112" s="18"/>
      <c r="F112" s="18"/>
      <c r="G112" s="18" t="s">
        <v>136</v>
      </c>
      <c r="H112" s="18" t="s">
        <v>137</v>
      </c>
      <c r="I112" s="18" t="s">
        <v>81</v>
      </c>
      <c r="J112" s="53">
        <f t="shared" si="119"/>
        <v>0</v>
      </c>
      <c r="K112" s="182"/>
      <c r="L112" s="182">
        <f>IF(ROUND(AG74+AG89+AG94+AG$97,7)&lt;J112,ROUND(AG74+AG89+AG94+AG$97,7),J112)</f>
        <v>0</v>
      </c>
      <c r="M112" s="217">
        <f t="shared" si="120"/>
        <v>0</v>
      </c>
      <c r="N112" s="185">
        <f t="shared" si="121"/>
        <v>0</v>
      </c>
      <c r="O112" s="193">
        <f>IF(ISERROR(INDEX(Check!$M$8:$M$5002,MATCH("ü",Check!$O$8:$O$5002,0))),J112,INDEX(Check!$M$8:$M$5002,MATCH("ü",Check!$O$8:$O$5002,0)))</f>
        <v>0</v>
      </c>
    </row>
    <row r="113" spans="1:15" ht="15" thickBot="1" x14ac:dyDescent="0.3">
      <c r="A113" s="153" t="s">
        <v>49</v>
      </c>
      <c r="B113" s="153" t="s">
        <v>162</v>
      </c>
      <c r="C113" s="154" t="s">
        <v>163</v>
      </c>
      <c r="D113" s="42" t="s">
        <v>133</v>
      </c>
      <c r="E113" s="42"/>
      <c r="F113" s="42"/>
      <c r="G113" s="42" t="s">
        <v>134</v>
      </c>
      <c r="H113" s="42"/>
      <c r="I113" s="42" t="s">
        <v>81</v>
      </c>
      <c r="J113" s="52">
        <f t="shared" si="119"/>
        <v>0</v>
      </c>
      <c r="K113" s="182"/>
      <c r="L113" s="182">
        <f>IF(ROUND(AG75+AG90+AG95+AG$97,7)&lt;J113,ROUND(AG75+AG90+AG95+AG$97,7),J113)</f>
        <v>0</v>
      </c>
      <c r="M113" s="217">
        <f t="shared" si="120"/>
        <v>0</v>
      </c>
      <c r="N113" s="185">
        <f t="shared" si="121"/>
        <v>0</v>
      </c>
      <c r="O113" s="194">
        <f>IF(ISERROR(INDEX(Check!$N$8:$N$5002,MATCH("ü",Check!$O$8:$O$5002,0))),J113,INDEX(Check!$N$8:$N$5002,MATCH("ü",Check!$O$8:$O$5002,0)))</f>
        <v>0</v>
      </c>
    </row>
    <row r="115" spans="1:15" ht="18" x14ac:dyDescent="0.25">
      <c r="A115" s="178" t="str">
        <f>IF($O$1="de","Umrechnung auf Fahrzeugpreise",
IF($O$1="fr","Conversion en prix des véhicules",
IF($O$1="it","Conversione ai prezzi dei veicoli",
IF($O$1="en","Conversion to vehicle prices","select language in cell N1"))))</f>
        <v>Umrechnung auf Fahrzeugpreise</v>
      </c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</row>
    <row r="116" spans="1:15" ht="13.5" x14ac:dyDescent="0.25">
      <c r="A116" s="152" t="str">
        <f>IF($O$1="de","Skalierfaktor",
IF($O$1="fr","Facteur d'échelle",
IF($O$1="it","Fattore di scala",
IF($O$1="en","Scaling factor","select language in cell N1"))))</f>
        <v>Skalierfaktor</v>
      </c>
      <c r="B116" s="152" t="s">
        <v>161</v>
      </c>
      <c r="C116" s="35"/>
      <c r="D116" s="264"/>
      <c r="E116" s="265"/>
      <c r="F116" s="265"/>
      <c r="G116" s="265"/>
      <c r="H116" s="265"/>
      <c r="I116" s="266"/>
      <c r="J116" s="202">
        <v>2.35</v>
      </c>
      <c r="K116" s="176"/>
      <c r="L116" s="176"/>
      <c r="M116" s="176"/>
      <c r="N116" s="176"/>
      <c r="O116" s="203">
        <f>J116</f>
        <v>2.35</v>
      </c>
    </row>
    <row r="118" spans="1:15" ht="18" x14ac:dyDescent="0.25">
      <c r="A118" s="123" t="str">
        <f>IF($O$1="de","Berechnung der Fahrzeugpreise",
IF($O$1="fr","Calcul  des prix des véhicules",
IF($O$1="it","Calcolo dei prezzi dei veicoli",
IF($O$1="en","Calculation of vehicle prices","select language in cell N1"))))</f>
        <v>Berechnung der Fahrzeugpreise</v>
      </c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1:15" x14ac:dyDescent="0.2">
      <c r="A119" s="58"/>
      <c r="B119" s="58"/>
      <c r="C119" s="58"/>
      <c r="D119" s="125"/>
      <c r="E119" s="126"/>
      <c r="F119" s="126"/>
      <c r="G119" s="126"/>
      <c r="H119" s="126"/>
      <c r="I119" s="126"/>
      <c r="J119" s="183" t="str">
        <f>J102</f>
        <v>nominell</v>
      </c>
      <c r="K119" s="190"/>
      <c r="L119" s="190"/>
      <c r="M119" s="190"/>
      <c r="N119" s="190"/>
      <c r="O119" s="197" t="str">
        <f>O102</f>
        <v>definitiv</v>
      </c>
    </row>
    <row r="120" spans="1:15" ht="16.5" thickBot="1" x14ac:dyDescent="0.35">
      <c r="A120" s="151" t="s">
        <v>144</v>
      </c>
      <c r="B120" s="151" t="s">
        <v>194</v>
      </c>
      <c r="C120" s="154" t="s">
        <v>163</v>
      </c>
      <c r="D120" s="234" t="s">
        <v>195</v>
      </c>
      <c r="E120" s="235"/>
      <c r="F120" s="235"/>
      <c r="G120" s="235"/>
      <c r="H120" s="235"/>
      <c r="I120" s="236"/>
      <c r="J120" s="130">
        <f>ROUND(J103*J$116,7)</f>
        <v>0</v>
      </c>
      <c r="K120" s="189"/>
      <c r="L120" s="189"/>
      <c r="M120" s="189"/>
      <c r="N120" s="196"/>
      <c r="O120" s="198" t="str">
        <f>IF($J$8&gt;0,ROUND(O103*O$116,7),"")</f>
        <v/>
      </c>
    </row>
    <row r="121" spans="1:15" ht="14.25" x14ac:dyDescent="0.25">
      <c r="A121" s="152" t="s">
        <v>44</v>
      </c>
      <c r="B121" s="152" t="s">
        <v>177</v>
      </c>
      <c r="C121" s="155" t="s">
        <v>163</v>
      </c>
      <c r="D121" s="237" t="s">
        <v>183</v>
      </c>
      <c r="E121" s="238"/>
      <c r="F121" s="238"/>
      <c r="G121" s="238"/>
      <c r="H121" s="238"/>
      <c r="I121" s="239"/>
      <c r="J121" s="52" t="str">
        <f>IF($J$8&gt;0,ROUND(J104*J$116,7),"")</f>
        <v/>
      </c>
      <c r="K121" s="189"/>
      <c r="L121" s="189"/>
      <c r="M121" s="189"/>
      <c r="N121" s="189"/>
      <c r="O121" s="199" t="str">
        <f>IF($J$8&gt;0,ROUND(O104*O$116,7),"")</f>
        <v/>
      </c>
    </row>
    <row r="122" spans="1:15" ht="14.25" x14ac:dyDescent="0.25">
      <c r="A122" s="152" t="s">
        <v>45</v>
      </c>
      <c r="B122" s="152" t="s">
        <v>178</v>
      </c>
      <c r="C122" s="155" t="s">
        <v>163</v>
      </c>
      <c r="D122" s="240" t="s">
        <v>184</v>
      </c>
      <c r="E122" s="241"/>
      <c r="F122" s="241"/>
      <c r="G122" s="241"/>
      <c r="H122" s="241"/>
      <c r="I122" s="242"/>
      <c r="J122" s="52" t="str">
        <f>IF($J$8&gt;80,ROUND(J105*J$116,7),"")</f>
        <v/>
      </c>
      <c r="K122" s="189"/>
      <c r="L122" s="189"/>
      <c r="M122" s="189"/>
      <c r="N122" s="189"/>
      <c r="O122" s="199" t="str">
        <f>IF($J$8&gt;80,ROUND(O105*O$116,7),"")</f>
        <v/>
      </c>
    </row>
    <row r="123" spans="1:15" ht="14.25" x14ac:dyDescent="0.25">
      <c r="A123" s="152" t="s">
        <v>46</v>
      </c>
      <c r="B123" s="152" t="s">
        <v>179</v>
      </c>
      <c r="C123" s="155" t="s">
        <v>163</v>
      </c>
      <c r="D123" s="240" t="s">
        <v>185</v>
      </c>
      <c r="E123" s="241"/>
      <c r="F123" s="241"/>
      <c r="G123" s="241"/>
      <c r="H123" s="241"/>
      <c r="I123" s="242"/>
      <c r="J123" s="52" t="str">
        <f>IF($J$8&gt;100,ROUND(J106*J$116,7),"")</f>
        <v/>
      </c>
      <c r="K123" s="189"/>
      <c r="L123" s="189"/>
      <c r="M123" s="189"/>
      <c r="N123" s="189"/>
      <c r="O123" s="199" t="str">
        <f>IF($J$8&gt;100,ROUND(O106*O$116,7),"")</f>
        <v/>
      </c>
    </row>
    <row r="124" spans="1:15" ht="14.25" x14ac:dyDescent="0.25">
      <c r="A124" s="152" t="s">
        <v>47</v>
      </c>
      <c r="B124" s="152" t="s">
        <v>180</v>
      </c>
      <c r="C124" s="155" t="s">
        <v>163</v>
      </c>
      <c r="D124" s="240" t="s">
        <v>186</v>
      </c>
      <c r="E124" s="241"/>
      <c r="F124" s="241"/>
      <c r="G124" s="241"/>
      <c r="H124" s="241"/>
      <c r="I124" s="242"/>
      <c r="J124" s="52" t="str">
        <f>IF($J$8&gt;120,ROUND(J107*J$116,7),"")</f>
        <v/>
      </c>
      <c r="K124" s="189"/>
      <c r="L124" s="189"/>
      <c r="M124" s="189"/>
      <c r="N124" s="189"/>
      <c r="O124" s="199" t="str">
        <f>IF($J$8&gt;120,ROUND(O107*O$116,7),"")</f>
        <v/>
      </c>
    </row>
    <row r="125" spans="1:15" ht="14.25" x14ac:dyDescent="0.25">
      <c r="A125" s="152" t="s">
        <v>48</v>
      </c>
      <c r="B125" s="152" t="s">
        <v>181</v>
      </c>
      <c r="C125" s="155" t="s">
        <v>163</v>
      </c>
      <c r="D125" s="240" t="s">
        <v>187</v>
      </c>
      <c r="E125" s="241"/>
      <c r="F125" s="241"/>
      <c r="G125" s="241"/>
      <c r="H125" s="241"/>
      <c r="I125" s="242"/>
      <c r="J125" s="52" t="str">
        <f>IF($J$8&gt;140,ROUND(J108*J$116,7),"")</f>
        <v/>
      </c>
      <c r="K125" s="189"/>
      <c r="L125" s="189"/>
      <c r="M125" s="189"/>
      <c r="N125" s="189"/>
      <c r="O125" s="199" t="str">
        <f>IF($J$8&gt;140,ROUND(O108*O$116,7),"")</f>
        <v/>
      </c>
    </row>
    <row r="126" spans="1:15" ht="15" thickBot="1" x14ac:dyDescent="0.3">
      <c r="A126" s="153" t="s">
        <v>93</v>
      </c>
      <c r="B126" s="153" t="s">
        <v>182</v>
      </c>
      <c r="C126" s="154" t="s">
        <v>163</v>
      </c>
      <c r="D126" s="234" t="s">
        <v>188</v>
      </c>
      <c r="E126" s="235"/>
      <c r="F126" s="235"/>
      <c r="G126" s="235"/>
      <c r="H126" s="235"/>
      <c r="I126" s="236"/>
      <c r="J126" s="52" t="str">
        <f>IF($J$8&gt;160,ROUND(J109*J$116,7),"")</f>
        <v/>
      </c>
      <c r="K126" s="189"/>
      <c r="L126" s="189"/>
      <c r="M126" s="189"/>
      <c r="N126" s="189"/>
      <c r="O126" s="199" t="str">
        <f>IF($J$8&gt;160,ROUND(O109*O$116,7),"")</f>
        <v/>
      </c>
    </row>
    <row r="127" spans="1:15" ht="14.25" x14ac:dyDescent="0.25">
      <c r="A127" s="152" t="s">
        <v>52</v>
      </c>
      <c r="B127" s="152" t="s">
        <v>167</v>
      </c>
      <c r="C127" s="155" t="s">
        <v>163</v>
      </c>
      <c r="D127" s="237" t="s">
        <v>189</v>
      </c>
      <c r="E127" s="238"/>
      <c r="F127" s="238"/>
      <c r="G127" s="238"/>
      <c r="H127" s="238"/>
      <c r="I127" s="239"/>
      <c r="J127" s="53">
        <f t="shared" ref="J127:J130" si="122">ROUND(J110*J$116,7)</f>
        <v>0</v>
      </c>
      <c r="K127" s="189"/>
      <c r="L127" s="189"/>
      <c r="M127" s="189"/>
      <c r="N127" s="189"/>
      <c r="O127" s="200">
        <f t="shared" ref="O127:O130" si="123">ROUND(O110*O$116,7)</f>
        <v>0</v>
      </c>
    </row>
    <row r="128" spans="1:15" ht="14.25" x14ac:dyDescent="0.25">
      <c r="A128" s="152" t="s">
        <v>51</v>
      </c>
      <c r="B128" s="152" t="s">
        <v>168</v>
      </c>
      <c r="C128" s="155" t="s">
        <v>163</v>
      </c>
      <c r="D128" s="240" t="s">
        <v>190</v>
      </c>
      <c r="E128" s="241"/>
      <c r="F128" s="241"/>
      <c r="G128" s="241"/>
      <c r="H128" s="241"/>
      <c r="I128" s="242"/>
      <c r="J128" s="53">
        <f t="shared" si="122"/>
        <v>0</v>
      </c>
      <c r="K128" s="189"/>
      <c r="L128" s="189"/>
      <c r="M128" s="189"/>
      <c r="N128" s="189"/>
      <c r="O128" s="200">
        <f t="shared" si="123"/>
        <v>0</v>
      </c>
    </row>
    <row r="129" spans="1:15" ht="14.25" x14ac:dyDescent="0.25">
      <c r="A129" s="152" t="s">
        <v>50</v>
      </c>
      <c r="B129" s="152" t="s">
        <v>169</v>
      </c>
      <c r="C129" s="155" t="s">
        <v>163</v>
      </c>
      <c r="D129" s="240" t="s">
        <v>191</v>
      </c>
      <c r="E129" s="241"/>
      <c r="F129" s="241"/>
      <c r="G129" s="241"/>
      <c r="H129" s="241"/>
      <c r="I129" s="242"/>
      <c r="J129" s="53">
        <f t="shared" si="122"/>
        <v>0</v>
      </c>
      <c r="K129" s="189"/>
      <c r="L129" s="189"/>
      <c r="M129" s="189"/>
      <c r="N129" s="189"/>
      <c r="O129" s="200">
        <f t="shared" si="123"/>
        <v>0</v>
      </c>
    </row>
    <row r="130" spans="1:15" ht="15" thickBot="1" x14ac:dyDescent="0.3">
      <c r="A130" s="153" t="s">
        <v>49</v>
      </c>
      <c r="B130" s="153" t="s">
        <v>170</v>
      </c>
      <c r="C130" s="154" t="s">
        <v>163</v>
      </c>
      <c r="D130" s="234" t="s">
        <v>192</v>
      </c>
      <c r="E130" s="235"/>
      <c r="F130" s="235"/>
      <c r="G130" s="235"/>
      <c r="H130" s="235"/>
      <c r="I130" s="236"/>
      <c r="J130" s="52">
        <f t="shared" si="122"/>
        <v>0</v>
      </c>
      <c r="K130" s="189"/>
      <c r="L130" s="189"/>
      <c r="M130" s="189"/>
      <c r="N130" s="189"/>
      <c r="O130" s="201">
        <f t="shared" si="123"/>
        <v>0</v>
      </c>
    </row>
    <row r="131" spans="1:15" x14ac:dyDescent="0.2">
      <c r="K131" s="6"/>
      <c r="L131" s="6"/>
      <c r="M131" s="6"/>
      <c r="N131" s="6"/>
    </row>
  </sheetData>
  <mergeCells count="102">
    <mergeCell ref="A1:L1"/>
    <mergeCell ref="D3:I3"/>
    <mergeCell ref="D4:I4"/>
    <mergeCell ref="J4:O4"/>
    <mergeCell ref="D7:I7"/>
    <mergeCell ref="D8:I8"/>
    <mergeCell ref="D16:I16"/>
    <mergeCell ref="D17:I17"/>
    <mergeCell ref="D18:I18"/>
    <mergeCell ref="D19:I19"/>
    <mergeCell ref="D20:I20"/>
    <mergeCell ref="D21:I21"/>
    <mergeCell ref="D9:I9"/>
    <mergeCell ref="D10:I10"/>
    <mergeCell ref="D12:I12"/>
    <mergeCell ref="D13:I13"/>
    <mergeCell ref="D14:I14"/>
    <mergeCell ref="D15:I15"/>
    <mergeCell ref="D29:I29"/>
    <mergeCell ref="D30:I30"/>
    <mergeCell ref="D31:I31"/>
    <mergeCell ref="D33:I33"/>
    <mergeCell ref="D34:I34"/>
    <mergeCell ref="D35:I35"/>
    <mergeCell ref="D22:I22"/>
    <mergeCell ref="D23:I23"/>
    <mergeCell ref="D24:I24"/>
    <mergeCell ref="D26:I26"/>
    <mergeCell ref="D27:I27"/>
    <mergeCell ref="D28:I28"/>
    <mergeCell ref="J45:N45"/>
    <mergeCell ref="Q45:U45"/>
    <mergeCell ref="X45:AB45"/>
    <mergeCell ref="D36:I36"/>
    <mergeCell ref="D37:I37"/>
    <mergeCell ref="D38:I38"/>
    <mergeCell ref="D39:I39"/>
    <mergeCell ref="D40:I40"/>
    <mergeCell ref="D41:I41"/>
    <mergeCell ref="D47:I47"/>
    <mergeCell ref="D48:I48"/>
    <mergeCell ref="D49:I49"/>
    <mergeCell ref="D50:I50"/>
    <mergeCell ref="D51:I51"/>
    <mergeCell ref="D52:I52"/>
    <mergeCell ref="D42:I42"/>
    <mergeCell ref="D43:I43"/>
    <mergeCell ref="D44:I44"/>
    <mergeCell ref="AE63:AE64"/>
    <mergeCell ref="AF63:AI64"/>
    <mergeCell ref="A64:N64"/>
    <mergeCell ref="D53:I53"/>
    <mergeCell ref="D54:I54"/>
    <mergeCell ref="D55:I55"/>
    <mergeCell ref="A56:I56"/>
    <mergeCell ref="D57:I57"/>
    <mergeCell ref="D58:I58"/>
    <mergeCell ref="A66:A71"/>
    <mergeCell ref="D66:I66"/>
    <mergeCell ref="D67:I67"/>
    <mergeCell ref="D68:I68"/>
    <mergeCell ref="D69:I69"/>
    <mergeCell ref="D70:I70"/>
    <mergeCell ref="D71:I71"/>
    <mergeCell ref="D59:I59"/>
    <mergeCell ref="D60:I60"/>
    <mergeCell ref="D61:I61"/>
    <mergeCell ref="A63:I63"/>
    <mergeCell ref="A72:A75"/>
    <mergeCell ref="D72:I72"/>
    <mergeCell ref="D73:I73"/>
    <mergeCell ref="D74:I74"/>
    <mergeCell ref="D75:I75"/>
    <mergeCell ref="A77:A82"/>
    <mergeCell ref="D77:I77"/>
    <mergeCell ref="D78:I78"/>
    <mergeCell ref="D79:I79"/>
    <mergeCell ref="D80:I80"/>
    <mergeCell ref="A91:N91"/>
    <mergeCell ref="A92:A95"/>
    <mergeCell ref="D92:I95"/>
    <mergeCell ref="A96:N96"/>
    <mergeCell ref="D97:I97"/>
    <mergeCell ref="D116:I116"/>
    <mergeCell ref="D81:I81"/>
    <mergeCell ref="D82:I82"/>
    <mergeCell ref="D84:I84"/>
    <mergeCell ref="A85:N85"/>
    <mergeCell ref="A86:N86"/>
    <mergeCell ref="A87:A90"/>
    <mergeCell ref="D87:I90"/>
    <mergeCell ref="D126:I126"/>
    <mergeCell ref="D127:I127"/>
    <mergeCell ref="D128:I128"/>
    <mergeCell ref="D129:I129"/>
    <mergeCell ref="D130:I130"/>
    <mergeCell ref="D120:I120"/>
    <mergeCell ref="D121:I121"/>
    <mergeCell ref="D122:I122"/>
    <mergeCell ref="D123:I123"/>
    <mergeCell ref="D124:I124"/>
    <mergeCell ref="D125:I125"/>
  </mergeCells>
  <conditionalFormatting sqref="A20:A23">
    <cfRule type="expression" dxfId="68" priority="40">
      <formula>$O$1="en"</formula>
    </cfRule>
    <cfRule type="expression" dxfId="67" priority="41">
      <formula>$O$1="it"</formula>
    </cfRule>
    <cfRule type="expression" dxfId="66" priority="42">
      <formula>$O$1="fr"</formula>
    </cfRule>
    <cfRule type="expression" dxfId="65" priority="43">
      <formula>$O$1="de"</formula>
    </cfRule>
  </conditionalFormatting>
  <conditionalFormatting sqref="A57:A60">
    <cfRule type="expression" dxfId="64" priority="36">
      <formula>$O$1="en"</formula>
    </cfRule>
    <cfRule type="expression" dxfId="63" priority="37">
      <formula>$O$1="it"</formula>
    </cfRule>
    <cfRule type="expression" dxfId="62" priority="38">
      <formula>$O$1="fr"</formula>
    </cfRule>
    <cfRule type="expression" dxfId="61" priority="39">
      <formula>$O$1="de"</formula>
    </cfRule>
  </conditionalFormatting>
  <conditionalFormatting sqref="A49">
    <cfRule type="expression" dxfId="60" priority="32">
      <formula>$O$1="en"</formula>
    </cfRule>
    <cfRule type="expression" dxfId="59" priority="33">
      <formula>$O$1="it"</formula>
    </cfRule>
    <cfRule type="expression" dxfId="58" priority="34">
      <formula>$O$1="fr"</formula>
    </cfRule>
    <cfRule type="expression" dxfId="57" priority="35">
      <formula>$O$1="de"</formula>
    </cfRule>
  </conditionalFormatting>
  <conditionalFormatting sqref="A50">
    <cfRule type="expression" dxfId="56" priority="28">
      <formula>$O$1="en"</formula>
    </cfRule>
    <cfRule type="expression" dxfId="55" priority="29">
      <formula>$O$1="it"</formula>
    </cfRule>
    <cfRule type="expression" dxfId="54" priority="30">
      <formula>$O$1="fr"</formula>
    </cfRule>
    <cfRule type="expression" dxfId="53" priority="31">
      <formula>$O$1="de"</formula>
    </cfRule>
  </conditionalFormatting>
  <conditionalFormatting sqref="A51">
    <cfRule type="expression" dxfId="52" priority="24">
      <formula>$O$1="en"</formula>
    </cfRule>
    <cfRule type="expression" dxfId="51" priority="25">
      <formula>$O$1="it"</formula>
    </cfRule>
    <cfRule type="expression" dxfId="50" priority="26">
      <formula>$O$1="fr"</formula>
    </cfRule>
    <cfRule type="expression" dxfId="49" priority="27">
      <formula>$O$1="de"</formula>
    </cfRule>
  </conditionalFormatting>
  <conditionalFormatting sqref="A52">
    <cfRule type="expression" dxfId="48" priority="20">
      <formula>$O$1="en"</formula>
    </cfRule>
    <cfRule type="expression" dxfId="47" priority="21">
      <formula>$O$1="it"</formula>
    </cfRule>
    <cfRule type="expression" dxfId="46" priority="22">
      <formula>$O$1="fr"</formula>
    </cfRule>
    <cfRule type="expression" dxfId="45" priority="23">
      <formula>$O$1="de"</formula>
    </cfRule>
  </conditionalFormatting>
  <conditionalFormatting sqref="A53">
    <cfRule type="expression" dxfId="44" priority="16">
      <formula>$O$1="en"</formula>
    </cfRule>
    <cfRule type="expression" dxfId="43" priority="17">
      <formula>$O$1="it"</formula>
    </cfRule>
    <cfRule type="expression" dxfId="42" priority="18">
      <formula>$O$1="fr"</formula>
    </cfRule>
    <cfRule type="expression" dxfId="41" priority="19">
      <formula>$O$1="de"</formula>
    </cfRule>
  </conditionalFormatting>
  <conditionalFormatting sqref="A54">
    <cfRule type="expression" dxfId="40" priority="12">
      <formula>$O$1="en"</formula>
    </cfRule>
    <cfRule type="expression" dxfId="39" priority="13">
      <formula>$O$1="it"</formula>
    </cfRule>
    <cfRule type="expression" dxfId="38" priority="14">
      <formula>$O$1="fr"</formula>
    </cfRule>
    <cfRule type="expression" dxfId="37" priority="15">
      <formula>$O$1="de"</formula>
    </cfRule>
  </conditionalFormatting>
  <conditionalFormatting sqref="A55">
    <cfRule type="expression" dxfId="36" priority="8">
      <formula>$O$1="en"</formula>
    </cfRule>
    <cfRule type="expression" dxfId="35" priority="9">
      <formula>$O$1="it"</formula>
    </cfRule>
    <cfRule type="expression" dxfId="34" priority="10">
      <formula>$O$1="fr"</formula>
    </cfRule>
    <cfRule type="expression" dxfId="33" priority="11">
      <formula>$O$1="de"</formula>
    </cfRule>
  </conditionalFormatting>
  <conditionalFormatting sqref="A56">
    <cfRule type="expression" dxfId="32" priority="4">
      <formula>$O$1="en"</formula>
    </cfRule>
    <cfRule type="expression" dxfId="31" priority="5">
      <formula>$O$1="it"</formula>
    </cfRule>
    <cfRule type="expression" dxfId="30" priority="6">
      <formula>$O$1="fr"</formula>
    </cfRule>
    <cfRule type="expression" dxfId="29" priority="7">
      <formula>$O$1="de"</formula>
    </cfRule>
  </conditionalFormatting>
  <conditionalFormatting sqref="L110:L113">
    <cfRule type="expression" dxfId="28" priority="3">
      <formula>ROUND(AG72+AG87+AG92+AG$97,7)&gt;J110</formula>
    </cfRule>
  </conditionalFormatting>
  <conditionalFormatting sqref="M110:M113">
    <cfRule type="expression" dxfId="27" priority="2">
      <formula>ROUND(AH72+AH87+AH92+AH$97,7)&lt;J110</formula>
    </cfRule>
  </conditionalFormatting>
  <conditionalFormatting sqref="K110:K113">
    <cfRule type="expression" dxfId="26" priority="1">
      <formula>ROUND(AF72+AF87+AF92+AF$97,7)&gt;I110</formula>
    </cfRule>
  </conditionalFormatting>
  <dataValidations count="10">
    <dataValidation type="list" allowBlank="1" showInputMessage="1" showErrorMessage="1" sqref="O1" xr:uid="{00000000-0002-0000-0000-000000000000}">
      <formula1>"de,fr,it,en"</formula1>
    </dataValidation>
    <dataValidation type="list" allowBlank="1" showInputMessage="1" showErrorMessage="1" sqref="O9" xr:uid="{00000000-0002-0000-0000-000001000000}">
      <formula1>"R,A,D,W,N"</formula1>
    </dataValidation>
    <dataValidation type="list" allowBlank="1" showInputMessage="1" showErrorMessage="1" sqref="O7" xr:uid="{00000000-0002-0000-0000-000002000000}">
      <formula1>"Lok,TWg,PWg,GWg,TZ,S"</formula1>
    </dataValidation>
    <dataValidation type="list" allowBlank="1" showInputMessage="1" showErrorMessage="1" sqref="AC9 V9" xr:uid="{00000000-0002-0000-0000-000003000000}">
      <formula1>"A,R,W,N"</formula1>
    </dataValidation>
    <dataValidation type="list" allowBlank="1" showInputMessage="1" showErrorMessage="1" sqref="V26 O26 AC26" xr:uid="{00000000-0002-0000-0000-000004000000}">
      <formula1>"1%,2.5%,5%"</formula1>
    </dataValidation>
    <dataValidation type="list" allowBlank="1" showInputMessage="1" showErrorMessage="1" sqref="J27:N27 X27" xr:uid="{00000000-0002-0000-0000-000005000000}">
      <formula1>"0%,5%,8%,15%"</formula1>
    </dataValidation>
    <dataValidation type="list" allowBlank="1" showInputMessage="1" showErrorMessage="1" sqref="J29:N29 X29" xr:uid="{00000000-0002-0000-0000-000006000000}">
      <formula1>"0%,20%"</formula1>
    </dataValidation>
    <dataValidation type="list" allowBlank="1" showInputMessage="1" showErrorMessage="1" sqref="J30:N30 X30" xr:uid="{00000000-0002-0000-0000-000007000000}">
      <formula1>"20%,40%"</formula1>
    </dataValidation>
    <dataValidation type="list" allowBlank="1" showInputMessage="1" showErrorMessage="1" sqref="J31:N31 X31" xr:uid="{00000000-0002-0000-0000-000008000000}">
      <formula1>"0.00,0.05,0.10,0.20"</formula1>
    </dataValidation>
    <dataValidation type="list" allowBlank="1" showInputMessage="1" showErrorMessage="1" sqref="J28:N28 X28" xr:uid="{00000000-0002-0000-0000-000009000000}">
      <formula1>"40 kN/mm,20 kN/mm,10 kN/mm,5 kN/mm"</formula1>
    </dataValidation>
  </dataValidations>
  <pageMargins left="0.51181102362204722" right="0.51181102362204722" top="0.70866141732283472" bottom="0.39370078740157483" header="0.11811023622047245" footer="0.19685039370078741"/>
  <pageSetup paperSize="9" scale="48" orientation="portrait" r:id="rId1"/>
  <headerFooter>
    <oddFooter>&amp;L&amp;12SBB AG, I-AT-FW-FBA&amp;C&amp;12&amp;F, &amp;A&amp;R&amp;12&amp;D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Q202"/>
  <sheetViews>
    <sheetView showGridLines="0" zoomScale="85" zoomScaleNormal="85" workbookViewId="0">
      <pane ySplit="7" topLeftCell="A8" activePane="bottomLeft" state="frozen"/>
      <selection pane="bottomLeft" activeCell="A7" sqref="A7"/>
    </sheetView>
  </sheetViews>
  <sheetFormatPr baseColWidth="10" defaultColWidth="11.5703125" defaultRowHeight="12.75" x14ac:dyDescent="0.2"/>
  <cols>
    <col min="1" max="1" width="31.28515625" style="57" bestFit="1" customWidth="1"/>
    <col min="2" max="14" width="11.5703125" style="57"/>
    <col min="15" max="15" width="19.28515625" style="57" customWidth="1"/>
    <col min="16" max="16384" width="11.5703125" style="57"/>
  </cols>
  <sheetData>
    <row r="1" spans="1:15" ht="55.9" customHeight="1" x14ac:dyDescent="0.2">
      <c r="A1" s="333" t="str">
        <f>IF($N$1="de","Prüfung auf Kostenzuordnung",
IF($N$1="fr","Contrôle de l'attribution des coûts",
IF($N$1="it","Verifica dell’attribuzione dei costi",
IF($N$1="en","Check for cost allocation","select language in cell N1"))))</f>
        <v>Prüfung auf Kostenzuordnung</v>
      </c>
      <c r="B1" s="333"/>
      <c r="C1" s="333"/>
      <c r="D1" s="333"/>
      <c r="E1" s="333"/>
      <c r="F1" s="333"/>
      <c r="G1" s="137"/>
      <c r="H1" s="137"/>
      <c r="I1" s="137"/>
      <c r="J1" s="137"/>
      <c r="K1" s="137"/>
      <c r="L1" s="137"/>
      <c r="M1" s="137"/>
      <c r="N1" s="137" t="str">
        <f>Calculation!O1</f>
        <v>de</v>
      </c>
      <c r="O1" s="137"/>
    </row>
    <row r="3" spans="1:15" ht="18" x14ac:dyDescent="0.25">
      <c r="E3" s="334" t="str">
        <f>IF($N$1="de","Fahrzeugbezugskosten",
IF($N$1="fr","Coûts de référence du véhicule",
IF($N$1="it","Costi di riferimento del veicolo",
IF($N$1="en","Vehicle reference costs","select language in cell N1"))))&amp;", "&amp;Calculation!M1</f>
        <v>Fahrzeugbezugskosten, 2023 V1</v>
      </c>
      <c r="F3" s="335"/>
      <c r="G3" s="335"/>
      <c r="H3" s="335"/>
      <c r="I3" s="335"/>
      <c r="J3" s="335"/>
      <c r="K3" s="335"/>
      <c r="L3" s="335"/>
      <c r="M3" s="335"/>
      <c r="N3" s="336"/>
    </row>
    <row r="4" spans="1:15" ht="25.5" x14ac:dyDescent="0.2">
      <c r="A4" s="138" t="str">
        <f>IF($N$1="de","Fahrzeug",
IF($N$1="fr","Véhicule",
IF($N$1="it","Veicolo",
IF($N$1="en","Vehicle","select language in cell N1"))))</f>
        <v>Fahrzeug</v>
      </c>
      <c r="B4" s="142" t="str">
        <f>IF($N$1="de","Fahrzeug-gattung",
IF($N$1="fr","Catégorie de véhicule",
IF($N$1="it","Categoria di veicolo",
IF($N$1="en","Vehicle category","select language in cell N1"))))</f>
        <v>Fahrzeug-gattung</v>
      </c>
      <c r="C4" s="142" t="str">
        <f>IF($N$1="de","Zugreihe",
IF($N$1="fr","Catégorie de train",
IF($N$1="it","Categoria di treno",
IF($N$1="en","Train category","select language in cell N1"))))</f>
        <v>Zugreihe</v>
      </c>
      <c r="D4" s="142" t="str">
        <f>IF($N$1="de","Anzahl Radsätze",
IF($N$1="fr","Nombre d'essieux",
IF($N$1="it","Numero di assi",
IF($N$1="en","Number of wheelsets","select language in cell N1"))))</f>
        <v>Anzahl Radsätze</v>
      </c>
      <c r="E4" s="134" t="s">
        <v>44</v>
      </c>
      <c r="F4" s="134" t="s">
        <v>45</v>
      </c>
      <c r="G4" s="134" t="s">
        <v>46</v>
      </c>
      <c r="H4" s="134" t="s">
        <v>47</v>
      </c>
      <c r="I4" s="134" t="s">
        <v>48</v>
      </c>
      <c r="J4" s="134" t="s">
        <v>93</v>
      </c>
      <c r="K4" s="134" t="s">
        <v>52</v>
      </c>
      <c r="L4" s="134" t="s">
        <v>51</v>
      </c>
      <c r="M4" s="134" t="s">
        <v>50</v>
      </c>
      <c r="N4" s="134" t="s">
        <v>49</v>
      </c>
      <c r="O4" s="142"/>
    </row>
    <row r="5" spans="1:15" x14ac:dyDescent="0.2">
      <c r="A5" s="139">
        <f>Calculation!A3</f>
        <v>0</v>
      </c>
      <c r="B5" s="143">
        <f>Calculation!O7</f>
        <v>0</v>
      </c>
      <c r="C5" s="143" t="str">
        <f>Calculation!O9</f>
        <v>R</v>
      </c>
      <c r="D5" s="143">
        <f>Calculation!O15</f>
        <v>0</v>
      </c>
      <c r="E5" s="79" t="str">
        <f>Calculation!N104</f>
        <v/>
      </c>
      <c r="F5" s="79" t="str">
        <f>Calculation!N105</f>
        <v/>
      </c>
      <c r="G5" s="79" t="str">
        <f>Calculation!N106</f>
        <v/>
      </c>
      <c r="H5" s="79" t="str">
        <f>Calculation!N107</f>
        <v/>
      </c>
      <c r="I5" s="79" t="str">
        <f>Calculation!N108</f>
        <v/>
      </c>
      <c r="J5" s="79" t="str">
        <f>Calculation!N109</f>
        <v/>
      </c>
      <c r="K5" s="79">
        <f>Calculation!N110</f>
        <v>0</v>
      </c>
      <c r="L5" s="79">
        <f>Calculation!N111</f>
        <v>0</v>
      </c>
      <c r="M5" s="79">
        <f>Calculation!N112</f>
        <v>0</v>
      </c>
      <c r="N5" s="79">
        <f>Calculation!N113</f>
        <v>0</v>
      </c>
      <c r="O5" s="186" t="str">
        <f>Calculation!N102</f>
        <v>50% obere Grenze</v>
      </c>
    </row>
    <row r="6" spans="1:15" ht="13.5" thickBot="1" x14ac:dyDescent="0.25">
      <c r="A6" s="140"/>
      <c r="B6" s="144"/>
      <c r="C6" s="144"/>
      <c r="D6" s="144"/>
      <c r="E6" s="141" t="str">
        <f>Calculation!L104</f>
        <v/>
      </c>
      <c r="F6" s="141" t="str">
        <f>Calculation!L105</f>
        <v/>
      </c>
      <c r="G6" s="141" t="str">
        <f>Calculation!L106</f>
        <v/>
      </c>
      <c r="H6" s="141" t="str">
        <f>Calculation!L107</f>
        <v/>
      </c>
      <c r="I6" s="141" t="str">
        <f>Calculation!L108</f>
        <v/>
      </c>
      <c r="J6" s="141" t="str">
        <f>Calculation!L109</f>
        <v/>
      </c>
      <c r="K6" s="141">
        <f>Calculation!L110</f>
        <v>0</v>
      </c>
      <c r="L6" s="141">
        <f>Calculation!L111</f>
        <v>0</v>
      </c>
      <c r="M6" s="141">
        <f>Calculation!L112</f>
        <v>0</v>
      </c>
      <c r="N6" s="141">
        <f>Calculation!L113</f>
        <v>0</v>
      </c>
      <c r="O6" s="187" t="str">
        <f>Calculation!L102</f>
        <v>untere Grenze</v>
      </c>
    </row>
    <row r="7" spans="1:15" ht="13.5" thickTop="1" x14ac:dyDescent="0.2">
      <c r="B7" s="133"/>
      <c r="C7" s="133"/>
      <c r="D7" s="133"/>
      <c r="O7" s="57" t="str">
        <f>IF($N$1="de","Prüfung",
IF($N$1="fr","Contrôle",
IF($N$1="it","Verifica",
IF($N$1="en","Check","select language in cell N1"))))</f>
        <v>Prüfung</v>
      </c>
    </row>
    <row r="8" spans="1:15" x14ac:dyDescent="0.2">
      <c r="A8" s="135" t="s">
        <v>238</v>
      </c>
      <c r="B8" s="145" t="s">
        <v>157</v>
      </c>
      <c r="C8" s="145" t="s">
        <v>158</v>
      </c>
      <c r="D8" s="145">
        <v>4</v>
      </c>
      <c r="E8" s="136">
        <v>0.1072376</v>
      </c>
      <c r="F8" s="136">
        <v>0.12112050000000001</v>
      </c>
      <c r="G8" s="136"/>
      <c r="H8" s="136"/>
      <c r="I8" s="136"/>
      <c r="J8" s="136"/>
      <c r="K8" s="136">
        <v>0.92471780000000003</v>
      </c>
      <c r="L8" s="136">
        <v>0.3096853</v>
      </c>
      <c r="M8" s="136">
        <v>0.22136449999999999</v>
      </c>
      <c r="N8" s="136">
        <v>0.12894330000000001</v>
      </c>
      <c r="O8" s="188" t="str">
        <f t="shared" ref="O8" si="0">IF(AND(B8=B$5,C8=C$5,D8=D$5,AND(E8&lt;=E$5,E8&gt;=E$6),AND(F8&lt;=F$5,F8&gt;=F$6),AND(G8&lt;=G$5,G8&gt;=G$6),AND(H8&lt;=H$5,H8&gt;=H$6),AND(I8&lt;=I$5,I8&gt;=I$6),AND(J8&lt;=J$5,J8&gt;=J$6),AND(K8&lt;=K$5,K8&gt;=K$6),AND(L8&lt;=L$5,L8&gt;=L$6),AND(M8&lt;=M$5,M8&gt;=M$6),AND(N8&lt;=N$5,N8&gt;=N$6)),"ü","")</f>
        <v/>
      </c>
    </row>
    <row r="9" spans="1:15" x14ac:dyDescent="0.2">
      <c r="A9" s="135" t="s">
        <v>293</v>
      </c>
      <c r="B9" s="145" t="s">
        <v>157</v>
      </c>
      <c r="C9" s="145" t="s">
        <v>94</v>
      </c>
      <c r="D9" s="145">
        <v>4</v>
      </c>
      <c r="E9" s="136">
        <v>8.6747500000000005E-2</v>
      </c>
      <c r="F9" s="136">
        <v>9.3263200000000004E-2</v>
      </c>
      <c r="G9" s="136">
        <v>0.103648</v>
      </c>
      <c r="H9" s="136"/>
      <c r="I9" s="136"/>
      <c r="J9" s="136"/>
      <c r="K9" s="136">
        <v>0.78808990000000001</v>
      </c>
      <c r="L9" s="136">
        <v>0.27367449999999999</v>
      </c>
      <c r="M9" s="136">
        <v>0.20062199999999999</v>
      </c>
      <c r="N9" s="136">
        <v>8.9674599999999993E-2</v>
      </c>
      <c r="O9" s="188" t="str">
        <f t="shared" ref="O9:O40" si="1">IF(AND(B9=B$5,C9=C$5,D9=D$5,AND(E9&lt;=E$5,E9&gt;=E$6),AND(F9&lt;=F$5,F9&gt;=F$6),AND(G9&lt;=G$5,G9&gt;=G$6),AND(H9&lt;=H$5,H9&gt;=H$6),AND(I9&lt;=I$5,I9&gt;=I$6),AND(J9&lt;=J$5,J9&gt;=J$6),AND(K9&lt;=K$5,K9&gt;=K$6),AND(L9&lt;=L$5,L9&gt;=L$6),AND(M9&lt;=M$5,M9&gt;=M$6),AND(N9&lt;=N$5,N9&gt;=N$6)),"ü","")</f>
        <v/>
      </c>
    </row>
    <row r="10" spans="1:15" x14ac:dyDescent="0.2">
      <c r="A10" s="135" t="s">
        <v>304</v>
      </c>
      <c r="B10" s="145" t="s">
        <v>157</v>
      </c>
      <c r="C10" s="145" t="s">
        <v>94</v>
      </c>
      <c r="D10" s="145">
        <v>4</v>
      </c>
      <c r="E10" s="136">
        <v>0.1200952</v>
      </c>
      <c r="F10" s="136">
        <v>0.1291214</v>
      </c>
      <c r="G10" s="136">
        <v>0.1435554</v>
      </c>
      <c r="H10" s="136">
        <v>0.1610056</v>
      </c>
      <c r="I10" s="136">
        <v>0.18177160000000001</v>
      </c>
      <c r="J10" s="136">
        <v>0.25016159999999998</v>
      </c>
      <c r="K10" s="136">
        <v>0.79384370000000004</v>
      </c>
      <c r="L10" s="136">
        <v>0.26166539999999999</v>
      </c>
      <c r="M10" s="136">
        <v>0.1895936</v>
      </c>
      <c r="N10" s="136">
        <v>0.1521903</v>
      </c>
      <c r="O10" s="188" t="str">
        <f t="shared" si="1"/>
        <v/>
      </c>
    </row>
    <row r="11" spans="1:15" x14ac:dyDescent="0.2">
      <c r="A11" s="135" t="s">
        <v>239</v>
      </c>
      <c r="B11" s="145" t="s">
        <v>157</v>
      </c>
      <c r="C11" s="145" t="s">
        <v>158</v>
      </c>
      <c r="D11" s="145">
        <v>2</v>
      </c>
      <c r="E11" s="136">
        <v>9.7646800000000006E-2</v>
      </c>
      <c r="F11" s="136">
        <v>0.1050083</v>
      </c>
      <c r="G11" s="136"/>
      <c r="H11" s="136"/>
      <c r="I11" s="136"/>
      <c r="J11" s="136"/>
      <c r="K11" s="136">
        <v>0.75542909999999996</v>
      </c>
      <c r="L11" s="136">
        <v>0.2447713</v>
      </c>
      <c r="M11" s="136">
        <v>0.16076789999999999</v>
      </c>
      <c r="N11" s="136">
        <v>0.11622010000000001</v>
      </c>
      <c r="O11" s="188" t="str">
        <f t="shared" si="1"/>
        <v/>
      </c>
    </row>
    <row r="12" spans="1:15" x14ac:dyDescent="0.2">
      <c r="A12" s="135" t="s">
        <v>305</v>
      </c>
      <c r="B12" s="145" t="s">
        <v>157</v>
      </c>
      <c r="C12" s="145" t="s">
        <v>158</v>
      </c>
      <c r="D12" s="145">
        <v>2</v>
      </c>
      <c r="E12" s="136">
        <v>9.7646800000000006E-2</v>
      </c>
      <c r="F12" s="136">
        <v>0.1050083</v>
      </c>
      <c r="G12" s="136"/>
      <c r="H12" s="136"/>
      <c r="I12" s="136"/>
      <c r="J12" s="136"/>
      <c r="K12" s="136">
        <v>0.75542909999999996</v>
      </c>
      <c r="L12" s="136">
        <v>0.2447713</v>
      </c>
      <c r="M12" s="136">
        <v>0.16076789999999999</v>
      </c>
      <c r="N12" s="136">
        <v>0.11622010000000001</v>
      </c>
      <c r="O12" s="188" t="str">
        <f t="shared" si="1"/>
        <v/>
      </c>
    </row>
    <row r="13" spans="1:15" x14ac:dyDescent="0.2">
      <c r="A13" s="135" t="s">
        <v>240</v>
      </c>
      <c r="B13" s="145" t="s">
        <v>157</v>
      </c>
      <c r="C13" s="145" t="s">
        <v>158</v>
      </c>
      <c r="D13" s="145">
        <v>2</v>
      </c>
      <c r="E13" s="136">
        <v>9.7533700000000001E-2</v>
      </c>
      <c r="F13" s="136">
        <v>0.10489519999999999</v>
      </c>
      <c r="G13" s="136">
        <v>0.1169497</v>
      </c>
      <c r="H13" s="136"/>
      <c r="I13" s="136"/>
      <c r="J13" s="136"/>
      <c r="K13" s="136">
        <v>0.80512660000000003</v>
      </c>
      <c r="L13" s="136">
        <v>0.2594919</v>
      </c>
      <c r="M13" s="136">
        <v>0.17247290000000001</v>
      </c>
      <c r="N13" s="136">
        <v>0.13003980000000001</v>
      </c>
      <c r="O13" s="188" t="str">
        <f t="shared" si="1"/>
        <v/>
      </c>
    </row>
    <row r="14" spans="1:15" x14ac:dyDescent="0.2">
      <c r="A14" s="135" t="s">
        <v>306</v>
      </c>
      <c r="B14" s="145" t="s">
        <v>157</v>
      </c>
      <c r="C14" s="145" t="s">
        <v>158</v>
      </c>
      <c r="D14" s="145">
        <v>2</v>
      </c>
      <c r="E14" s="136">
        <v>8.6459300000000003E-2</v>
      </c>
      <c r="F14" s="136">
        <v>9.3820799999999996E-2</v>
      </c>
      <c r="G14" s="136">
        <v>0.10587530000000001</v>
      </c>
      <c r="H14" s="136"/>
      <c r="I14" s="136"/>
      <c r="J14" s="136"/>
      <c r="K14" s="136">
        <v>0.80512660000000003</v>
      </c>
      <c r="L14" s="136">
        <v>0.2594919</v>
      </c>
      <c r="M14" s="136">
        <v>0.17247290000000001</v>
      </c>
      <c r="N14" s="136">
        <v>0.13003980000000001</v>
      </c>
      <c r="O14" s="188" t="str">
        <f t="shared" si="1"/>
        <v/>
      </c>
    </row>
    <row r="15" spans="1:15" x14ac:dyDescent="0.2">
      <c r="A15" s="135" t="s">
        <v>241</v>
      </c>
      <c r="B15" s="145" t="s">
        <v>157</v>
      </c>
      <c r="C15" s="145" t="s">
        <v>94</v>
      </c>
      <c r="D15" s="145">
        <v>4</v>
      </c>
      <c r="E15" s="136">
        <v>0.10718949999999999</v>
      </c>
      <c r="F15" s="136">
        <v>0.1159051</v>
      </c>
      <c r="G15" s="136">
        <v>0.12989919999999999</v>
      </c>
      <c r="H15" s="136">
        <v>0.1468835</v>
      </c>
      <c r="I15" s="136"/>
      <c r="J15" s="136"/>
      <c r="K15" s="136">
        <v>0.71659229999999996</v>
      </c>
      <c r="L15" s="136">
        <v>0.25588709999999998</v>
      </c>
      <c r="M15" s="136">
        <v>0.1982276</v>
      </c>
      <c r="N15" s="136">
        <v>0.13966439999999999</v>
      </c>
      <c r="O15" s="188" t="str">
        <f t="shared" si="1"/>
        <v/>
      </c>
    </row>
    <row r="16" spans="1:15" x14ac:dyDescent="0.2">
      <c r="A16" s="135" t="s">
        <v>289</v>
      </c>
      <c r="B16" s="145" t="s">
        <v>157</v>
      </c>
      <c r="C16" s="145" t="s">
        <v>94</v>
      </c>
      <c r="D16" s="145">
        <v>4</v>
      </c>
      <c r="E16" s="136">
        <v>0.10718949999999999</v>
      </c>
      <c r="F16" s="136">
        <v>0.1159051</v>
      </c>
      <c r="G16" s="136">
        <v>0.12989919999999999</v>
      </c>
      <c r="H16" s="136">
        <v>0.1468835</v>
      </c>
      <c r="I16" s="136"/>
      <c r="J16" s="136"/>
      <c r="K16" s="136">
        <v>0.71659229999999996</v>
      </c>
      <c r="L16" s="136">
        <v>0.25588709999999998</v>
      </c>
      <c r="M16" s="136">
        <v>0.1982276</v>
      </c>
      <c r="N16" s="136">
        <v>0.13966439999999999</v>
      </c>
      <c r="O16" s="188" t="str">
        <f t="shared" si="1"/>
        <v/>
      </c>
    </row>
    <row r="17" spans="1:15" x14ac:dyDescent="0.2">
      <c r="A17" s="135" t="s">
        <v>242</v>
      </c>
      <c r="B17" s="145" t="s">
        <v>157</v>
      </c>
      <c r="C17" s="145" t="s">
        <v>94</v>
      </c>
      <c r="D17" s="145">
        <v>4</v>
      </c>
      <c r="E17" s="136">
        <v>0.1068514</v>
      </c>
      <c r="F17" s="136">
        <v>0.1151824</v>
      </c>
      <c r="G17" s="136">
        <v>0.12861020000000001</v>
      </c>
      <c r="H17" s="136">
        <v>0.14496709999999999</v>
      </c>
      <c r="I17" s="136"/>
      <c r="J17" s="136"/>
      <c r="K17" s="136">
        <v>0.65999430000000003</v>
      </c>
      <c r="L17" s="136">
        <v>0.23761589999999999</v>
      </c>
      <c r="M17" s="136">
        <v>0.18503320000000001</v>
      </c>
      <c r="N17" s="136">
        <v>0.13533419999999999</v>
      </c>
      <c r="O17" s="188" t="str">
        <f t="shared" si="1"/>
        <v/>
      </c>
    </row>
    <row r="18" spans="1:15" x14ac:dyDescent="0.2">
      <c r="A18" s="135" t="s">
        <v>290</v>
      </c>
      <c r="B18" s="145" t="s">
        <v>157</v>
      </c>
      <c r="C18" s="145" t="s">
        <v>94</v>
      </c>
      <c r="D18" s="145">
        <v>4</v>
      </c>
      <c r="E18" s="136">
        <v>0.10718949999999999</v>
      </c>
      <c r="F18" s="136">
        <v>0.1159051</v>
      </c>
      <c r="G18" s="136">
        <v>0.12989919999999999</v>
      </c>
      <c r="H18" s="136">
        <v>0.1468835</v>
      </c>
      <c r="I18" s="136"/>
      <c r="J18" s="136"/>
      <c r="K18" s="136">
        <v>0.71659229999999996</v>
      </c>
      <c r="L18" s="136">
        <v>0.25588709999999998</v>
      </c>
      <c r="M18" s="136">
        <v>0.1982276</v>
      </c>
      <c r="N18" s="136">
        <v>0.13966439999999999</v>
      </c>
      <c r="O18" s="188" t="str">
        <f t="shared" si="1"/>
        <v/>
      </c>
    </row>
    <row r="19" spans="1:15" x14ac:dyDescent="0.2">
      <c r="A19" s="135" t="s">
        <v>243</v>
      </c>
      <c r="B19" s="145" t="s">
        <v>157</v>
      </c>
      <c r="C19" s="145" t="s">
        <v>94</v>
      </c>
      <c r="D19" s="145">
        <v>4</v>
      </c>
      <c r="E19" s="136">
        <v>0.1020938</v>
      </c>
      <c r="F19" s="136">
        <v>0.1087799</v>
      </c>
      <c r="G19" s="136">
        <v>0.11936380000000001</v>
      </c>
      <c r="H19" s="136">
        <v>0.13203690000000001</v>
      </c>
      <c r="I19" s="136"/>
      <c r="J19" s="136"/>
      <c r="K19" s="136">
        <v>0.79225959999999995</v>
      </c>
      <c r="L19" s="136">
        <v>0.27033449999999998</v>
      </c>
      <c r="M19" s="136">
        <v>0.19673950000000001</v>
      </c>
      <c r="N19" s="136">
        <v>0.1168878</v>
      </c>
      <c r="O19" s="188" t="str">
        <f t="shared" si="1"/>
        <v/>
      </c>
    </row>
    <row r="20" spans="1:15" x14ac:dyDescent="0.2">
      <c r="A20" s="135" t="s">
        <v>244</v>
      </c>
      <c r="B20" s="145" t="s">
        <v>157</v>
      </c>
      <c r="C20" s="145" t="s">
        <v>94</v>
      </c>
      <c r="D20" s="145">
        <v>4</v>
      </c>
      <c r="E20" s="136">
        <v>0.10119259999999999</v>
      </c>
      <c r="F20" s="136">
        <v>0.1115578</v>
      </c>
      <c r="G20" s="136">
        <v>0.1286197</v>
      </c>
      <c r="H20" s="136">
        <v>0.14981610000000001</v>
      </c>
      <c r="I20" s="136"/>
      <c r="J20" s="136"/>
      <c r="K20" s="136">
        <v>0.53113120000000003</v>
      </c>
      <c r="L20" s="136">
        <v>0.1865009</v>
      </c>
      <c r="M20" s="136">
        <v>0.14550370000000001</v>
      </c>
      <c r="N20" s="136">
        <v>0.1292315</v>
      </c>
      <c r="O20" s="188" t="str">
        <f t="shared" si="1"/>
        <v/>
      </c>
    </row>
    <row r="21" spans="1:15" x14ac:dyDescent="0.2">
      <c r="A21" s="135" t="s">
        <v>245</v>
      </c>
      <c r="B21" s="145" t="s">
        <v>157</v>
      </c>
      <c r="C21" s="145" t="s">
        <v>94</v>
      </c>
      <c r="D21" s="145">
        <v>4</v>
      </c>
      <c r="E21" s="136">
        <v>0.10119259999999999</v>
      </c>
      <c r="F21" s="136">
        <v>0.1115578</v>
      </c>
      <c r="G21" s="136">
        <v>0.1286197</v>
      </c>
      <c r="H21" s="136">
        <v>0.14981610000000001</v>
      </c>
      <c r="I21" s="136"/>
      <c r="J21" s="136"/>
      <c r="K21" s="136">
        <v>0.53113120000000003</v>
      </c>
      <c r="L21" s="136">
        <v>0.1865009</v>
      </c>
      <c r="M21" s="136">
        <v>0.14550370000000001</v>
      </c>
      <c r="N21" s="136">
        <v>0.1292315</v>
      </c>
      <c r="O21" s="188" t="str">
        <f t="shared" si="1"/>
        <v/>
      </c>
    </row>
    <row r="22" spans="1:15" x14ac:dyDescent="0.2">
      <c r="A22" s="135" t="s">
        <v>246</v>
      </c>
      <c r="B22" s="145" t="s">
        <v>157</v>
      </c>
      <c r="C22" s="145" t="s">
        <v>94</v>
      </c>
      <c r="D22" s="145">
        <v>4</v>
      </c>
      <c r="E22" s="136">
        <v>0.1086802</v>
      </c>
      <c r="F22" s="136">
        <v>0.1154727</v>
      </c>
      <c r="G22" s="136">
        <v>0.12623419999999999</v>
      </c>
      <c r="H22" s="136">
        <v>0.13913049999999999</v>
      </c>
      <c r="I22" s="136">
        <v>0.15436540000000001</v>
      </c>
      <c r="J22" s="136">
        <v>0.20402339999999999</v>
      </c>
      <c r="K22" s="136">
        <v>0.64865030000000001</v>
      </c>
      <c r="L22" s="136">
        <v>0.21221219999999999</v>
      </c>
      <c r="M22" s="136">
        <v>0.15676609999999999</v>
      </c>
      <c r="N22" s="136">
        <v>0.13219819999999999</v>
      </c>
      <c r="O22" s="188" t="str">
        <f t="shared" si="1"/>
        <v/>
      </c>
    </row>
    <row r="23" spans="1:15" x14ac:dyDescent="0.2">
      <c r="A23" s="135" t="s">
        <v>247</v>
      </c>
      <c r="B23" s="145" t="s">
        <v>157</v>
      </c>
      <c r="C23" s="145" t="s">
        <v>94</v>
      </c>
      <c r="D23" s="145">
        <v>4</v>
      </c>
      <c r="E23" s="136">
        <v>0.1094272</v>
      </c>
      <c r="F23" s="136">
        <v>0.1162198</v>
      </c>
      <c r="G23" s="136">
        <v>0.12698119999999999</v>
      </c>
      <c r="H23" s="136">
        <v>0.13987749999999999</v>
      </c>
      <c r="I23" s="136">
        <v>0.15511249999999999</v>
      </c>
      <c r="J23" s="136"/>
      <c r="K23" s="136">
        <v>0.52890749999999997</v>
      </c>
      <c r="L23" s="136">
        <v>0.17798939999999999</v>
      </c>
      <c r="M23" s="136">
        <v>0.1408084</v>
      </c>
      <c r="N23" s="136">
        <v>0.1179098</v>
      </c>
      <c r="O23" s="188" t="str">
        <f t="shared" si="1"/>
        <v/>
      </c>
    </row>
    <row r="24" spans="1:15" x14ac:dyDescent="0.2">
      <c r="A24" s="135" t="s">
        <v>248</v>
      </c>
      <c r="B24" s="145" t="s">
        <v>157</v>
      </c>
      <c r="C24" s="145" t="s">
        <v>94</v>
      </c>
      <c r="D24" s="145">
        <v>4</v>
      </c>
      <c r="E24" s="136">
        <v>0.1530339</v>
      </c>
      <c r="F24" s="136">
        <v>0.17371729999999999</v>
      </c>
      <c r="G24" s="136">
        <v>0.20820930000000001</v>
      </c>
      <c r="H24" s="136">
        <v>0.25155830000000001</v>
      </c>
      <c r="I24" s="136"/>
      <c r="J24" s="136"/>
      <c r="K24" s="136">
        <v>1.1348119999999999</v>
      </c>
      <c r="L24" s="136">
        <v>0.37429030000000002</v>
      </c>
      <c r="M24" s="136">
        <v>0.28476659999999998</v>
      </c>
      <c r="N24" s="136">
        <v>0.25992409999999999</v>
      </c>
      <c r="O24" s="188" t="str">
        <f t="shared" si="1"/>
        <v/>
      </c>
    </row>
    <row r="25" spans="1:15" x14ac:dyDescent="0.2">
      <c r="A25" s="135" t="s">
        <v>297</v>
      </c>
      <c r="B25" s="145" t="s">
        <v>157</v>
      </c>
      <c r="C25" s="145" t="s">
        <v>94</v>
      </c>
      <c r="D25" s="145">
        <v>4</v>
      </c>
      <c r="E25" s="136">
        <v>0.13536280000000001</v>
      </c>
      <c r="F25" s="136">
        <v>0.1491992</v>
      </c>
      <c r="G25" s="136">
        <v>0.17175360000000001</v>
      </c>
      <c r="H25" s="136">
        <v>0.199514</v>
      </c>
      <c r="I25" s="136">
        <v>0.2330412</v>
      </c>
      <c r="J25" s="136"/>
      <c r="K25" s="136">
        <v>1.0367369</v>
      </c>
      <c r="L25" s="136">
        <v>0.34745320000000002</v>
      </c>
      <c r="M25" s="136">
        <v>0.25801160000000001</v>
      </c>
      <c r="N25" s="136">
        <v>0.18964149999999999</v>
      </c>
      <c r="O25" s="188" t="str">
        <f t="shared" si="1"/>
        <v/>
      </c>
    </row>
    <row r="26" spans="1:15" x14ac:dyDescent="0.2">
      <c r="A26" s="135" t="s">
        <v>249</v>
      </c>
      <c r="B26" s="145" t="s">
        <v>157</v>
      </c>
      <c r="C26" s="145" t="s">
        <v>94</v>
      </c>
      <c r="D26" s="145">
        <v>4</v>
      </c>
      <c r="E26" s="136">
        <v>0.13910710000000001</v>
      </c>
      <c r="F26" s="136">
        <v>0.1565812</v>
      </c>
      <c r="G26" s="136">
        <v>0.1856273</v>
      </c>
      <c r="H26" s="136">
        <v>0.22202669999999999</v>
      </c>
      <c r="I26" s="136"/>
      <c r="J26" s="136"/>
      <c r="K26" s="136">
        <v>1.0692333999999999</v>
      </c>
      <c r="L26" s="136">
        <v>0.36544189999999999</v>
      </c>
      <c r="M26" s="136">
        <v>0.2812808</v>
      </c>
      <c r="N26" s="136">
        <v>0.2206861</v>
      </c>
      <c r="O26" s="188" t="str">
        <f t="shared" si="1"/>
        <v/>
      </c>
    </row>
    <row r="27" spans="1:15" x14ac:dyDescent="0.2">
      <c r="A27" s="135" t="s">
        <v>250</v>
      </c>
      <c r="B27" s="145" t="s">
        <v>157</v>
      </c>
      <c r="C27" s="145" t="s">
        <v>94</v>
      </c>
      <c r="D27" s="145">
        <v>4</v>
      </c>
      <c r="E27" s="136">
        <v>0.13910710000000001</v>
      </c>
      <c r="F27" s="136">
        <v>0.1565812</v>
      </c>
      <c r="G27" s="136">
        <v>0.1856273</v>
      </c>
      <c r="H27" s="136">
        <v>0.22202669999999999</v>
      </c>
      <c r="I27" s="136"/>
      <c r="J27" s="136"/>
      <c r="K27" s="136">
        <v>1.0692333999999999</v>
      </c>
      <c r="L27" s="136">
        <v>0.36544189999999999</v>
      </c>
      <c r="M27" s="136">
        <v>0.2812808</v>
      </c>
      <c r="N27" s="136">
        <v>0.2206861</v>
      </c>
      <c r="O27" s="188" t="str">
        <f t="shared" si="1"/>
        <v/>
      </c>
    </row>
    <row r="28" spans="1:15" x14ac:dyDescent="0.2">
      <c r="A28" s="135" t="s">
        <v>251</v>
      </c>
      <c r="B28" s="145" t="s">
        <v>157</v>
      </c>
      <c r="C28" s="145" t="s">
        <v>94</v>
      </c>
      <c r="D28" s="145">
        <v>4</v>
      </c>
      <c r="E28" s="136">
        <v>0.13910710000000001</v>
      </c>
      <c r="F28" s="136">
        <v>0.1565812</v>
      </c>
      <c r="G28" s="136">
        <v>0.1856273</v>
      </c>
      <c r="H28" s="136">
        <v>0.22202669999999999</v>
      </c>
      <c r="I28" s="136"/>
      <c r="J28" s="136"/>
      <c r="K28" s="136">
        <v>1.0692333999999999</v>
      </c>
      <c r="L28" s="136">
        <v>0.36544189999999999</v>
      </c>
      <c r="M28" s="136">
        <v>0.2812808</v>
      </c>
      <c r="N28" s="136">
        <v>0.2206861</v>
      </c>
      <c r="O28" s="188" t="str">
        <f t="shared" si="1"/>
        <v/>
      </c>
    </row>
    <row r="29" spans="1:15" x14ac:dyDescent="0.2">
      <c r="A29" s="135" t="s">
        <v>252</v>
      </c>
      <c r="B29" s="145" t="s">
        <v>157</v>
      </c>
      <c r="C29" s="145" t="s">
        <v>94</v>
      </c>
      <c r="D29" s="145">
        <v>6</v>
      </c>
      <c r="E29" s="136">
        <v>0.1560984</v>
      </c>
      <c r="F29" s="136">
        <v>0.16859499999999999</v>
      </c>
      <c r="G29" s="136">
        <v>0.18873670000000001</v>
      </c>
      <c r="H29" s="136">
        <v>0.21327199999999999</v>
      </c>
      <c r="I29" s="136"/>
      <c r="J29" s="136"/>
      <c r="K29" s="136">
        <v>0.94624019999999998</v>
      </c>
      <c r="L29" s="136">
        <v>0.34781230000000002</v>
      </c>
      <c r="M29" s="136">
        <v>0.27432689999999998</v>
      </c>
      <c r="N29" s="136">
        <v>0.2131074</v>
      </c>
      <c r="O29" s="188" t="str">
        <f t="shared" si="1"/>
        <v/>
      </c>
    </row>
    <row r="30" spans="1:15" x14ac:dyDescent="0.2">
      <c r="A30" s="135" t="s">
        <v>351</v>
      </c>
      <c r="B30" s="145" t="s">
        <v>157</v>
      </c>
      <c r="C30" s="145" t="s">
        <v>94</v>
      </c>
      <c r="D30" s="145">
        <v>4</v>
      </c>
      <c r="E30" s="136">
        <v>0.13536280000000001</v>
      </c>
      <c r="F30" s="136">
        <v>0.1491992</v>
      </c>
      <c r="G30" s="136">
        <v>0.17175360000000001</v>
      </c>
      <c r="H30" s="136">
        <v>0.199514</v>
      </c>
      <c r="I30" s="136">
        <v>0.2330412</v>
      </c>
      <c r="J30" s="136"/>
      <c r="K30" s="136">
        <v>1.0367369</v>
      </c>
      <c r="L30" s="136">
        <v>0.34745320000000002</v>
      </c>
      <c r="M30" s="136">
        <v>0.25801160000000001</v>
      </c>
      <c r="N30" s="136">
        <v>0.18964149999999999</v>
      </c>
      <c r="O30" s="188" t="str">
        <f t="shared" si="1"/>
        <v/>
      </c>
    </row>
    <row r="31" spans="1:15" x14ac:dyDescent="0.2">
      <c r="A31" s="135" t="s">
        <v>359</v>
      </c>
      <c r="B31" s="145" t="s">
        <v>157</v>
      </c>
      <c r="C31" s="145" t="s">
        <v>94</v>
      </c>
      <c r="D31" s="145">
        <v>4</v>
      </c>
      <c r="E31" s="136">
        <v>0.10810930000000001</v>
      </c>
      <c r="F31" s="136"/>
      <c r="G31" s="136"/>
      <c r="H31" s="136"/>
      <c r="I31" s="136"/>
      <c r="J31" s="136"/>
      <c r="K31" s="136">
        <v>0.78633249999999999</v>
      </c>
      <c r="L31" s="136">
        <v>0.25816610000000001</v>
      </c>
      <c r="M31" s="136">
        <v>0.17546629999999999</v>
      </c>
      <c r="N31" s="136">
        <v>9.3938499999999994E-2</v>
      </c>
      <c r="O31" s="188" t="str">
        <f t="shared" si="1"/>
        <v/>
      </c>
    </row>
    <row r="32" spans="1:15" x14ac:dyDescent="0.2">
      <c r="A32" s="135" t="s">
        <v>307</v>
      </c>
      <c r="B32" s="145" t="s">
        <v>157</v>
      </c>
      <c r="C32" s="145" t="s">
        <v>94</v>
      </c>
      <c r="D32" s="145">
        <v>4</v>
      </c>
      <c r="E32" s="136">
        <v>0.13910710000000001</v>
      </c>
      <c r="F32" s="136">
        <v>0.1565812</v>
      </c>
      <c r="G32" s="136">
        <v>0.1856273</v>
      </c>
      <c r="H32" s="136">
        <v>0.22202669999999999</v>
      </c>
      <c r="I32" s="136"/>
      <c r="J32" s="136"/>
      <c r="K32" s="136">
        <v>1.0692333999999999</v>
      </c>
      <c r="L32" s="136">
        <v>0.36544189999999999</v>
      </c>
      <c r="M32" s="136">
        <v>0.2812808</v>
      </c>
      <c r="N32" s="136">
        <v>0.2206861</v>
      </c>
      <c r="O32" s="188" t="str">
        <f t="shared" si="1"/>
        <v/>
      </c>
    </row>
    <row r="33" spans="1:15" x14ac:dyDescent="0.2">
      <c r="A33" s="135" t="s">
        <v>308</v>
      </c>
      <c r="B33" s="145" t="s">
        <v>157</v>
      </c>
      <c r="C33" s="145" t="s">
        <v>94</v>
      </c>
      <c r="D33" s="145">
        <v>4</v>
      </c>
      <c r="E33" s="136">
        <v>0.11429010000000001</v>
      </c>
      <c r="F33" s="136">
        <v>0.1317642</v>
      </c>
      <c r="G33" s="136">
        <v>0.16081029999999999</v>
      </c>
      <c r="H33" s="136">
        <v>0.19720969999999999</v>
      </c>
      <c r="I33" s="136"/>
      <c r="J33" s="136"/>
      <c r="K33" s="136">
        <v>1.0692333999999999</v>
      </c>
      <c r="L33" s="136">
        <v>0.36544189999999999</v>
      </c>
      <c r="M33" s="136">
        <v>0.2812808</v>
      </c>
      <c r="N33" s="136">
        <v>0.2206861</v>
      </c>
      <c r="O33" s="188" t="str">
        <f t="shared" si="1"/>
        <v/>
      </c>
    </row>
    <row r="34" spans="1:15" x14ac:dyDescent="0.2">
      <c r="A34" s="135" t="s">
        <v>309</v>
      </c>
      <c r="B34" s="145" t="s">
        <v>213</v>
      </c>
      <c r="C34" s="145" t="s">
        <v>94</v>
      </c>
      <c r="D34" s="145">
        <v>4</v>
      </c>
      <c r="E34" s="136">
        <v>7.4183299999999994E-2</v>
      </c>
      <c r="F34" s="136">
        <v>7.9689999999999997E-2</v>
      </c>
      <c r="G34" s="136"/>
      <c r="H34" s="136"/>
      <c r="I34" s="136"/>
      <c r="J34" s="136"/>
      <c r="K34" s="136">
        <v>0.3622224</v>
      </c>
      <c r="L34" s="136">
        <v>0.13882050000000001</v>
      </c>
      <c r="M34" s="136">
        <v>0.1115506</v>
      </c>
      <c r="N34" s="136">
        <v>8.59848E-2</v>
      </c>
      <c r="O34" s="188" t="str">
        <f t="shared" si="1"/>
        <v/>
      </c>
    </row>
    <row r="35" spans="1:15" x14ac:dyDescent="0.2">
      <c r="A35" s="135" t="s">
        <v>256</v>
      </c>
      <c r="B35" s="145" t="s">
        <v>213</v>
      </c>
      <c r="C35" s="145" t="s">
        <v>94</v>
      </c>
      <c r="D35" s="145">
        <v>4</v>
      </c>
      <c r="E35" s="136">
        <v>4.4224100000000002E-2</v>
      </c>
      <c r="F35" s="136"/>
      <c r="G35" s="136"/>
      <c r="H35" s="136"/>
      <c r="I35" s="136"/>
      <c r="J35" s="136"/>
      <c r="K35" s="136">
        <v>0.21399770000000001</v>
      </c>
      <c r="L35" s="136">
        <v>7.5121499999999994E-2</v>
      </c>
      <c r="M35" s="136">
        <v>6.3311300000000001E-2</v>
      </c>
      <c r="N35" s="136">
        <v>5.0056400000000001E-2</v>
      </c>
      <c r="O35" s="188" t="str">
        <f t="shared" si="1"/>
        <v/>
      </c>
    </row>
    <row r="36" spans="1:15" x14ac:dyDescent="0.2">
      <c r="A36" s="135" t="s">
        <v>253</v>
      </c>
      <c r="B36" s="145" t="s">
        <v>213</v>
      </c>
      <c r="C36" s="145" t="s">
        <v>94</v>
      </c>
      <c r="D36" s="145">
        <v>4</v>
      </c>
      <c r="E36" s="136">
        <v>8.5402800000000001E-2</v>
      </c>
      <c r="F36" s="136">
        <v>9.3136700000000003E-2</v>
      </c>
      <c r="G36" s="136">
        <v>0.10571410000000001</v>
      </c>
      <c r="H36" s="136">
        <v>0.12116590000000001</v>
      </c>
      <c r="I36" s="136"/>
      <c r="J36" s="136"/>
      <c r="K36" s="136">
        <v>0.71156759999999997</v>
      </c>
      <c r="L36" s="136">
        <v>0.23830380000000001</v>
      </c>
      <c r="M36" s="136">
        <v>0.17426710000000001</v>
      </c>
      <c r="N36" s="136">
        <v>0.12592800000000001</v>
      </c>
      <c r="O36" s="188" t="str">
        <f t="shared" si="1"/>
        <v/>
      </c>
    </row>
    <row r="37" spans="1:15" x14ac:dyDescent="0.2">
      <c r="A37" s="135" t="s">
        <v>294</v>
      </c>
      <c r="B37" s="145" t="s">
        <v>213</v>
      </c>
      <c r="C37" s="145" t="s">
        <v>94</v>
      </c>
      <c r="D37" s="145">
        <v>4</v>
      </c>
      <c r="E37" s="136">
        <v>8.5402800000000001E-2</v>
      </c>
      <c r="F37" s="136">
        <v>9.3136700000000003E-2</v>
      </c>
      <c r="G37" s="136">
        <v>0.10571410000000001</v>
      </c>
      <c r="H37" s="136">
        <v>0.12116590000000001</v>
      </c>
      <c r="I37" s="136"/>
      <c r="J37" s="136"/>
      <c r="K37" s="136">
        <v>0.71156759999999997</v>
      </c>
      <c r="L37" s="136">
        <v>0.23830380000000001</v>
      </c>
      <c r="M37" s="136">
        <v>0.17426710000000001</v>
      </c>
      <c r="N37" s="136">
        <v>0.12592800000000001</v>
      </c>
      <c r="O37" s="188" t="str">
        <f t="shared" si="1"/>
        <v/>
      </c>
    </row>
    <row r="38" spans="1:15" x14ac:dyDescent="0.2">
      <c r="A38" s="135" t="s">
        <v>295</v>
      </c>
      <c r="B38" s="145" t="s">
        <v>213</v>
      </c>
      <c r="C38" s="145" t="s">
        <v>94</v>
      </c>
      <c r="D38" s="145">
        <v>4</v>
      </c>
      <c r="E38" s="136">
        <v>8.5402800000000001E-2</v>
      </c>
      <c r="F38" s="136">
        <v>9.3136700000000003E-2</v>
      </c>
      <c r="G38" s="136">
        <v>0.10571410000000001</v>
      </c>
      <c r="H38" s="136">
        <v>0.12116590000000001</v>
      </c>
      <c r="I38" s="136"/>
      <c r="J38" s="136"/>
      <c r="K38" s="136">
        <v>0.71156759999999997</v>
      </c>
      <c r="L38" s="136">
        <v>0.23830380000000001</v>
      </c>
      <c r="M38" s="136">
        <v>0.17426710000000001</v>
      </c>
      <c r="N38" s="136">
        <v>0.12592800000000001</v>
      </c>
      <c r="O38" s="188" t="str">
        <f t="shared" si="1"/>
        <v/>
      </c>
    </row>
    <row r="39" spans="1:15" x14ac:dyDescent="0.2">
      <c r="A39" s="135" t="s">
        <v>255</v>
      </c>
      <c r="B39" s="145" t="s">
        <v>213</v>
      </c>
      <c r="C39" s="145" t="s">
        <v>94</v>
      </c>
      <c r="D39" s="145">
        <v>4</v>
      </c>
      <c r="E39" s="136">
        <v>7.8042100000000003E-2</v>
      </c>
      <c r="F39" s="136">
        <v>8.3738599999999996E-2</v>
      </c>
      <c r="G39" s="136">
        <v>9.2867699999999997E-2</v>
      </c>
      <c r="H39" s="136">
        <v>0.1039303</v>
      </c>
      <c r="I39" s="136"/>
      <c r="J39" s="136"/>
      <c r="K39" s="136">
        <v>0.64708489999999996</v>
      </c>
      <c r="L39" s="136">
        <v>0.2164363</v>
      </c>
      <c r="M39" s="136">
        <v>0.15580759999999999</v>
      </c>
      <c r="N39" s="136">
        <v>9.8621100000000003E-2</v>
      </c>
      <c r="O39" s="188" t="str">
        <f t="shared" si="1"/>
        <v/>
      </c>
    </row>
    <row r="40" spans="1:15" x14ac:dyDescent="0.2">
      <c r="A40" s="135" t="s">
        <v>292</v>
      </c>
      <c r="B40" s="145" t="s">
        <v>213</v>
      </c>
      <c r="C40" s="145" t="s">
        <v>94</v>
      </c>
      <c r="D40" s="145">
        <v>4</v>
      </c>
      <c r="E40" s="136">
        <v>8.5402800000000001E-2</v>
      </c>
      <c r="F40" s="136">
        <v>9.3136700000000003E-2</v>
      </c>
      <c r="G40" s="136">
        <v>0.10571410000000001</v>
      </c>
      <c r="H40" s="136">
        <v>0.12116590000000001</v>
      </c>
      <c r="I40" s="136"/>
      <c r="J40" s="136"/>
      <c r="K40" s="136">
        <v>0.71156759999999997</v>
      </c>
      <c r="L40" s="136">
        <v>0.23830380000000001</v>
      </c>
      <c r="M40" s="136">
        <v>0.17426710000000001</v>
      </c>
      <c r="N40" s="136">
        <v>0.12592800000000001</v>
      </c>
      <c r="O40" s="188" t="str">
        <f t="shared" si="1"/>
        <v/>
      </c>
    </row>
    <row r="41" spans="1:15" x14ac:dyDescent="0.2">
      <c r="A41" s="135" t="s">
        <v>296</v>
      </c>
      <c r="B41" s="145" t="s">
        <v>213</v>
      </c>
      <c r="C41" s="145" t="s">
        <v>94</v>
      </c>
      <c r="D41" s="145">
        <v>4</v>
      </c>
      <c r="E41" s="136">
        <v>7.8042100000000003E-2</v>
      </c>
      <c r="F41" s="136">
        <v>8.3738599999999996E-2</v>
      </c>
      <c r="G41" s="136">
        <v>9.2867699999999997E-2</v>
      </c>
      <c r="H41" s="136">
        <v>0.1039303</v>
      </c>
      <c r="I41" s="136"/>
      <c r="J41" s="136"/>
      <c r="K41" s="136">
        <v>0.64708489999999996</v>
      </c>
      <c r="L41" s="136">
        <v>0.2164363</v>
      </c>
      <c r="M41" s="136">
        <v>0.15580759999999999</v>
      </c>
      <c r="N41" s="136">
        <v>9.8621100000000003E-2</v>
      </c>
      <c r="O41" s="188" t="str">
        <f t="shared" ref="O41:O72" si="2">IF(AND(B41=B$5,C41=C$5,D41=D$5,AND(E41&lt;=E$5,E41&gt;=E$6),AND(F41&lt;=F$5,F41&gt;=F$6),AND(G41&lt;=G$5,G41&gt;=G$6),AND(H41&lt;=H$5,H41&gt;=H$6),AND(I41&lt;=I$5,I41&gt;=I$6),AND(J41&lt;=J$5,J41&gt;=J$6),AND(K41&lt;=K$5,K41&gt;=K$6),AND(L41&lt;=L$5,L41&gt;=L$6),AND(M41&lt;=M$5,M41&gt;=M$6),AND(N41&lt;=N$5,N41&gt;=N$6)),"ü","")</f>
        <v/>
      </c>
    </row>
    <row r="42" spans="1:15" x14ac:dyDescent="0.2">
      <c r="A42" s="135" t="s">
        <v>254</v>
      </c>
      <c r="B42" s="145" t="s">
        <v>213</v>
      </c>
      <c r="C42" s="145" t="s">
        <v>94</v>
      </c>
      <c r="D42" s="145">
        <v>4</v>
      </c>
      <c r="E42" s="136">
        <v>7.8042100000000003E-2</v>
      </c>
      <c r="F42" s="136">
        <v>8.3738599999999996E-2</v>
      </c>
      <c r="G42" s="136">
        <v>9.2867699999999997E-2</v>
      </c>
      <c r="H42" s="136">
        <v>0.1039303</v>
      </c>
      <c r="I42" s="136"/>
      <c r="J42" s="136"/>
      <c r="K42" s="136">
        <v>0.64708489999999996</v>
      </c>
      <c r="L42" s="136">
        <v>0.2164363</v>
      </c>
      <c r="M42" s="136">
        <v>0.15580759999999999</v>
      </c>
      <c r="N42" s="136">
        <v>9.8621100000000003E-2</v>
      </c>
      <c r="O42" s="188" t="str">
        <f t="shared" si="2"/>
        <v/>
      </c>
    </row>
    <row r="43" spans="1:15" x14ac:dyDescent="0.2">
      <c r="A43" s="135" t="s">
        <v>291</v>
      </c>
      <c r="B43" s="145" t="s">
        <v>213</v>
      </c>
      <c r="C43" s="145" t="s">
        <v>94</v>
      </c>
      <c r="D43" s="145">
        <v>4</v>
      </c>
      <c r="E43" s="136">
        <v>8.2338499999999995E-2</v>
      </c>
      <c r="F43" s="136">
        <v>8.8451799999999997E-2</v>
      </c>
      <c r="G43" s="136">
        <v>9.8245600000000002E-2</v>
      </c>
      <c r="H43" s="136">
        <v>0.1101097</v>
      </c>
      <c r="I43" s="136"/>
      <c r="J43" s="136"/>
      <c r="K43" s="136">
        <v>0.7152965</v>
      </c>
      <c r="L43" s="136">
        <v>0.24974360000000001</v>
      </c>
      <c r="M43" s="136">
        <v>0.18329490000000001</v>
      </c>
      <c r="N43" s="136">
        <v>9.5166000000000001E-2</v>
      </c>
      <c r="O43" s="188" t="str">
        <f t="shared" si="2"/>
        <v/>
      </c>
    </row>
    <row r="44" spans="1:15" x14ac:dyDescent="0.2">
      <c r="A44" s="135" t="s">
        <v>257</v>
      </c>
      <c r="B44" s="145" t="s">
        <v>156</v>
      </c>
      <c r="C44" s="145" t="s">
        <v>94</v>
      </c>
      <c r="D44" s="145">
        <v>4</v>
      </c>
      <c r="E44" s="136">
        <v>3.7179400000000001E-2</v>
      </c>
      <c r="F44" s="136">
        <v>3.95041E-2</v>
      </c>
      <c r="G44" s="136">
        <v>4.3298099999999999E-2</v>
      </c>
      <c r="H44" s="136">
        <v>4.79814E-2</v>
      </c>
      <c r="I44" s="136">
        <v>5.3658900000000002E-2</v>
      </c>
      <c r="J44" s="136"/>
      <c r="K44" s="136">
        <v>0.21639449999999999</v>
      </c>
      <c r="L44" s="136">
        <v>8.6238099999999998E-2</v>
      </c>
      <c r="M44" s="136">
        <v>7.32936E-2</v>
      </c>
      <c r="N44" s="136">
        <v>6.4373399999999997E-2</v>
      </c>
      <c r="O44" s="188" t="str">
        <f t="shared" si="2"/>
        <v/>
      </c>
    </row>
    <row r="45" spans="1:15" x14ac:dyDescent="0.2">
      <c r="A45" s="135" t="s">
        <v>220</v>
      </c>
      <c r="B45" s="145" t="s">
        <v>156</v>
      </c>
      <c r="C45" s="145" t="s">
        <v>94</v>
      </c>
      <c r="D45" s="145">
        <v>4</v>
      </c>
      <c r="E45" s="136">
        <v>3.4714399999999999E-2</v>
      </c>
      <c r="F45" s="136">
        <v>3.67544E-2</v>
      </c>
      <c r="G45" s="136">
        <v>4.0063500000000002E-2</v>
      </c>
      <c r="H45" s="136">
        <v>4.4125299999999999E-2</v>
      </c>
      <c r="I45" s="136"/>
      <c r="J45" s="136"/>
      <c r="K45" s="136">
        <v>0.21705469999999999</v>
      </c>
      <c r="L45" s="136">
        <v>8.5198300000000005E-2</v>
      </c>
      <c r="M45" s="136">
        <v>7.0877800000000005E-2</v>
      </c>
      <c r="N45" s="136">
        <v>5.8976500000000001E-2</v>
      </c>
      <c r="O45" s="188" t="str">
        <f t="shared" si="2"/>
        <v/>
      </c>
    </row>
    <row r="46" spans="1:15" x14ac:dyDescent="0.2">
      <c r="A46" s="135" t="s">
        <v>214</v>
      </c>
      <c r="B46" s="145" t="s">
        <v>156</v>
      </c>
      <c r="C46" s="145" t="s">
        <v>94</v>
      </c>
      <c r="D46" s="145">
        <v>4</v>
      </c>
      <c r="E46" s="136">
        <v>4.8160500000000002E-2</v>
      </c>
      <c r="F46" s="136">
        <v>5.1248500000000002E-2</v>
      </c>
      <c r="G46" s="136">
        <v>5.6230500000000003E-2</v>
      </c>
      <c r="H46" s="136">
        <v>6.2309999999999997E-2</v>
      </c>
      <c r="I46" s="136">
        <v>6.9607299999999997E-2</v>
      </c>
      <c r="J46" s="136">
        <v>9.3964800000000001E-2</v>
      </c>
      <c r="K46" s="136">
        <v>0.3570296</v>
      </c>
      <c r="L46" s="136">
        <v>0.12630620000000001</v>
      </c>
      <c r="M46" s="136">
        <v>9.8429500000000003E-2</v>
      </c>
      <c r="N46" s="136">
        <v>8.1206799999999996E-2</v>
      </c>
      <c r="O46" s="188" t="str">
        <f t="shared" si="2"/>
        <v/>
      </c>
    </row>
    <row r="47" spans="1:15" x14ac:dyDescent="0.2">
      <c r="A47" s="135" t="s">
        <v>215</v>
      </c>
      <c r="B47" s="145" t="s">
        <v>156</v>
      </c>
      <c r="C47" s="145" t="s">
        <v>94</v>
      </c>
      <c r="D47" s="145">
        <v>4</v>
      </c>
      <c r="E47" s="136">
        <v>5.0238400000000002E-2</v>
      </c>
      <c r="F47" s="136">
        <v>5.3450900000000003E-2</v>
      </c>
      <c r="G47" s="136">
        <v>5.8617299999999997E-2</v>
      </c>
      <c r="H47" s="136">
        <v>6.4902399999999999E-2</v>
      </c>
      <c r="I47" s="136">
        <v>7.2426099999999993E-2</v>
      </c>
      <c r="J47" s="136">
        <v>9.7442600000000004E-2</v>
      </c>
      <c r="K47" s="136">
        <v>0.38383349999999999</v>
      </c>
      <c r="L47" s="136">
        <v>0.13482050000000001</v>
      </c>
      <c r="M47" s="136">
        <v>0.1030006</v>
      </c>
      <c r="N47" s="136">
        <v>8.3191299999999996E-2</v>
      </c>
      <c r="O47" s="188" t="str">
        <f t="shared" si="2"/>
        <v/>
      </c>
    </row>
    <row r="48" spans="1:15" x14ac:dyDescent="0.2">
      <c r="A48" s="135" t="s">
        <v>226</v>
      </c>
      <c r="B48" s="145" t="s">
        <v>156</v>
      </c>
      <c r="C48" s="145" t="s">
        <v>94</v>
      </c>
      <c r="D48" s="145">
        <v>4</v>
      </c>
      <c r="E48" s="136">
        <v>4.8093799999999999E-2</v>
      </c>
      <c r="F48" s="136">
        <v>5.1187799999999999E-2</v>
      </c>
      <c r="G48" s="136">
        <v>5.6178499999999999E-2</v>
      </c>
      <c r="H48" s="136">
        <v>6.2267999999999997E-2</v>
      </c>
      <c r="I48" s="136">
        <v>6.9576100000000002E-2</v>
      </c>
      <c r="J48" s="136">
        <v>9.3965099999999996E-2</v>
      </c>
      <c r="K48" s="136">
        <v>0.2869874</v>
      </c>
      <c r="L48" s="136">
        <v>8.6517899999999995E-2</v>
      </c>
      <c r="M48" s="136">
        <v>6.6968899999999998E-2</v>
      </c>
      <c r="N48" s="136">
        <v>6.0711099999999997E-2</v>
      </c>
      <c r="O48" s="188" t="str">
        <f t="shared" si="2"/>
        <v/>
      </c>
    </row>
    <row r="49" spans="1:15" x14ac:dyDescent="0.2">
      <c r="A49" s="135" t="s">
        <v>227</v>
      </c>
      <c r="B49" s="145" t="s">
        <v>156</v>
      </c>
      <c r="C49" s="145" t="s">
        <v>94</v>
      </c>
      <c r="D49" s="145">
        <v>4</v>
      </c>
      <c r="E49" s="136">
        <v>5.0142100000000002E-2</v>
      </c>
      <c r="F49" s="136">
        <v>5.3354600000000002E-2</v>
      </c>
      <c r="G49" s="136">
        <v>5.8520999999999997E-2</v>
      </c>
      <c r="H49" s="136">
        <v>6.4806100000000005E-2</v>
      </c>
      <c r="I49" s="136">
        <v>7.2329900000000003E-2</v>
      </c>
      <c r="J49" s="136">
        <v>9.7346299999999997E-2</v>
      </c>
      <c r="K49" s="136">
        <v>0.29278120000000002</v>
      </c>
      <c r="L49" s="136">
        <v>9.1536199999999998E-2</v>
      </c>
      <c r="M49" s="136">
        <v>7.05871E-2</v>
      </c>
      <c r="N49" s="136">
        <v>6.3483700000000004E-2</v>
      </c>
      <c r="O49" s="188" t="str">
        <f t="shared" si="2"/>
        <v/>
      </c>
    </row>
    <row r="50" spans="1:15" x14ac:dyDescent="0.2">
      <c r="A50" s="135" t="s">
        <v>217</v>
      </c>
      <c r="B50" s="145" t="s">
        <v>156</v>
      </c>
      <c r="C50" s="145" t="s">
        <v>94</v>
      </c>
      <c r="D50" s="145">
        <v>4</v>
      </c>
      <c r="E50" s="136">
        <v>4.5816500000000003E-2</v>
      </c>
      <c r="F50" s="136">
        <v>4.8708799999999997E-2</v>
      </c>
      <c r="G50" s="136">
        <v>5.33374E-2</v>
      </c>
      <c r="H50" s="136">
        <v>5.8942300000000003E-2</v>
      </c>
      <c r="I50" s="136"/>
      <c r="J50" s="136"/>
      <c r="K50" s="136">
        <v>0.25305329999999998</v>
      </c>
      <c r="L50" s="136">
        <v>9.7709599999999994E-2</v>
      </c>
      <c r="M50" s="136">
        <v>7.9063099999999997E-2</v>
      </c>
      <c r="N50" s="136">
        <v>5.9375499999999998E-2</v>
      </c>
      <c r="O50" s="188" t="str">
        <f t="shared" si="2"/>
        <v/>
      </c>
    </row>
    <row r="51" spans="1:15" x14ac:dyDescent="0.2">
      <c r="A51" s="135" t="s">
        <v>258</v>
      </c>
      <c r="B51" s="145" t="s">
        <v>156</v>
      </c>
      <c r="C51" s="145" t="s">
        <v>94</v>
      </c>
      <c r="D51" s="145">
        <v>4</v>
      </c>
      <c r="E51" s="136">
        <v>4.5816500000000003E-2</v>
      </c>
      <c r="F51" s="136">
        <v>4.8708799999999997E-2</v>
      </c>
      <c r="G51" s="136">
        <v>5.33374E-2</v>
      </c>
      <c r="H51" s="136">
        <v>5.8942300000000003E-2</v>
      </c>
      <c r="I51" s="136"/>
      <c r="J51" s="136"/>
      <c r="K51" s="136">
        <v>0.25305329999999998</v>
      </c>
      <c r="L51" s="136">
        <v>9.7709599999999994E-2</v>
      </c>
      <c r="M51" s="136">
        <v>7.9063099999999997E-2</v>
      </c>
      <c r="N51" s="136">
        <v>5.9375499999999998E-2</v>
      </c>
      <c r="O51" s="188" t="str">
        <f t="shared" si="2"/>
        <v/>
      </c>
    </row>
    <row r="52" spans="1:15" x14ac:dyDescent="0.2">
      <c r="A52" s="135" t="s">
        <v>219</v>
      </c>
      <c r="B52" s="145" t="s">
        <v>156</v>
      </c>
      <c r="C52" s="145" t="s">
        <v>94</v>
      </c>
      <c r="D52" s="145">
        <v>4</v>
      </c>
      <c r="E52" s="136">
        <v>4.9444099999999998E-2</v>
      </c>
      <c r="F52" s="136">
        <v>5.2679400000000001E-2</v>
      </c>
      <c r="G52" s="136">
        <v>5.7868200000000002E-2</v>
      </c>
      <c r="H52" s="136">
        <v>6.4163999999999999E-2</v>
      </c>
      <c r="I52" s="136"/>
      <c r="J52" s="136"/>
      <c r="K52" s="136">
        <v>0.34380270000000002</v>
      </c>
      <c r="L52" s="136">
        <v>0.1208945</v>
      </c>
      <c r="M52" s="136">
        <v>9.7816399999999998E-2</v>
      </c>
      <c r="N52" s="136">
        <v>8.3352499999999996E-2</v>
      </c>
      <c r="O52" s="188" t="str">
        <f t="shared" si="2"/>
        <v/>
      </c>
    </row>
    <row r="53" spans="1:15" x14ac:dyDescent="0.2">
      <c r="A53" s="135" t="s">
        <v>298</v>
      </c>
      <c r="B53" s="145" t="s">
        <v>156</v>
      </c>
      <c r="C53" s="145" t="s">
        <v>94</v>
      </c>
      <c r="D53" s="145">
        <v>4</v>
      </c>
      <c r="E53" s="136">
        <v>4.46451E-2</v>
      </c>
      <c r="F53" s="136">
        <v>4.7500899999999999E-2</v>
      </c>
      <c r="G53" s="136">
        <v>5.2137700000000002E-2</v>
      </c>
      <c r="H53" s="136">
        <v>5.7831599999999997E-2</v>
      </c>
      <c r="I53" s="136">
        <v>6.4702399999999993E-2</v>
      </c>
      <c r="J53" s="136">
        <v>8.7815799999999999E-2</v>
      </c>
      <c r="K53" s="136">
        <v>0.31681540000000002</v>
      </c>
      <c r="L53" s="136">
        <v>0.11462319999999999</v>
      </c>
      <c r="M53" s="136">
        <v>9.1857400000000006E-2</v>
      </c>
      <c r="N53" s="136">
        <v>7.6809600000000006E-2</v>
      </c>
      <c r="O53" s="188" t="str">
        <f t="shared" si="2"/>
        <v/>
      </c>
    </row>
    <row r="54" spans="1:15" x14ac:dyDescent="0.2">
      <c r="A54" s="135" t="s">
        <v>301</v>
      </c>
      <c r="B54" s="145" t="s">
        <v>156</v>
      </c>
      <c r="C54" s="145" t="s">
        <v>94</v>
      </c>
      <c r="D54" s="145">
        <v>4</v>
      </c>
      <c r="E54" s="136">
        <v>4.4523899999999998E-2</v>
      </c>
      <c r="F54" s="136">
        <v>4.7379600000000001E-2</v>
      </c>
      <c r="G54" s="136">
        <v>5.2016399999999997E-2</v>
      </c>
      <c r="H54" s="136">
        <v>5.7710400000000002E-2</v>
      </c>
      <c r="I54" s="136">
        <v>6.4581200000000005E-2</v>
      </c>
      <c r="J54" s="136">
        <v>8.7694499999999995E-2</v>
      </c>
      <c r="K54" s="136">
        <v>0.2567625</v>
      </c>
      <c r="L54" s="136">
        <v>8.9330000000000007E-2</v>
      </c>
      <c r="M54" s="136">
        <v>7.2572800000000007E-2</v>
      </c>
      <c r="N54" s="136">
        <v>5.8437799999999998E-2</v>
      </c>
      <c r="O54" s="188" t="str">
        <f t="shared" si="2"/>
        <v/>
      </c>
    </row>
    <row r="55" spans="1:15" x14ac:dyDescent="0.2">
      <c r="A55" s="135" t="s">
        <v>222</v>
      </c>
      <c r="B55" s="145" t="s">
        <v>156</v>
      </c>
      <c r="C55" s="145" t="s">
        <v>94</v>
      </c>
      <c r="D55" s="145">
        <v>4</v>
      </c>
      <c r="E55" s="136">
        <v>4.8160500000000002E-2</v>
      </c>
      <c r="F55" s="136">
        <v>5.1248500000000002E-2</v>
      </c>
      <c r="G55" s="136">
        <v>5.6230500000000003E-2</v>
      </c>
      <c r="H55" s="136">
        <v>6.2309999999999997E-2</v>
      </c>
      <c r="I55" s="136">
        <v>6.9607299999999997E-2</v>
      </c>
      <c r="J55" s="136">
        <v>9.3964800000000001E-2</v>
      </c>
      <c r="K55" s="136">
        <v>0.3570296</v>
      </c>
      <c r="L55" s="136">
        <v>0.12630620000000001</v>
      </c>
      <c r="M55" s="136">
        <v>9.8429500000000003E-2</v>
      </c>
      <c r="N55" s="136">
        <v>8.1206799999999996E-2</v>
      </c>
      <c r="O55" s="188" t="str">
        <f t="shared" si="2"/>
        <v/>
      </c>
    </row>
    <row r="56" spans="1:15" x14ac:dyDescent="0.2">
      <c r="A56" s="135" t="s">
        <v>223</v>
      </c>
      <c r="B56" s="145" t="s">
        <v>156</v>
      </c>
      <c r="C56" s="145" t="s">
        <v>94</v>
      </c>
      <c r="D56" s="145">
        <v>4</v>
      </c>
      <c r="E56" s="136">
        <v>4.8160500000000002E-2</v>
      </c>
      <c r="F56" s="136">
        <v>5.1248500000000002E-2</v>
      </c>
      <c r="G56" s="136">
        <v>5.6230500000000003E-2</v>
      </c>
      <c r="H56" s="136">
        <v>6.2309999999999997E-2</v>
      </c>
      <c r="I56" s="136">
        <v>6.9607299999999997E-2</v>
      </c>
      <c r="J56" s="136">
        <v>9.3964800000000001E-2</v>
      </c>
      <c r="K56" s="136">
        <v>0.3570296</v>
      </c>
      <c r="L56" s="136">
        <v>0.12630620000000001</v>
      </c>
      <c r="M56" s="136">
        <v>9.8429500000000003E-2</v>
      </c>
      <c r="N56" s="136">
        <v>8.1206799999999996E-2</v>
      </c>
      <c r="O56" s="188" t="str">
        <f t="shared" si="2"/>
        <v/>
      </c>
    </row>
    <row r="57" spans="1:15" x14ac:dyDescent="0.2">
      <c r="A57" s="135" t="s">
        <v>259</v>
      </c>
      <c r="B57" s="145" t="s">
        <v>156</v>
      </c>
      <c r="C57" s="145" t="s">
        <v>94</v>
      </c>
      <c r="D57" s="145">
        <v>4</v>
      </c>
      <c r="E57" s="136">
        <v>2.6710100000000001E-2</v>
      </c>
      <c r="F57" s="136">
        <v>2.7711300000000001E-2</v>
      </c>
      <c r="G57" s="136">
        <v>2.92935E-2</v>
      </c>
      <c r="H57" s="136">
        <v>3.1189499999999998E-2</v>
      </c>
      <c r="I57" s="136"/>
      <c r="J57" s="136"/>
      <c r="K57" s="136">
        <v>0.1831402</v>
      </c>
      <c r="L57" s="136">
        <v>6.1893700000000003E-2</v>
      </c>
      <c r="M57" s="136">
        <v>5.2826600000000001E-2</v>
      </c>
      <c r="N57" s="136">
        <v>4.26811E-2</v>
      </c>
      <c r="O57" s="188" t="str">
        <f t="shared" si="2"/>
        <v/>
      </c>
    </row>
    <row r="58" spans="1:15" x14ac:dyDescent="0.2">
      <c r="A58" s="135" t="s">
        <v>260</v>
      </c>
      <c r="B58" s="145" t="s">
        <v>156</v>
      </c>
      <c r="C58" s="145" t="s">
        <v>94</v>
      </c>
      <c r="D58" s="145">
        <v>4</v>
      </c>
      <c r="E58" s="136">
        <v>2.8056399999999999E-2</v>
      </c>
      <c r="F58" s="136">
        <v>2.9102900000000001E-2</v>
      </c>
      <c r="G58" s="136">
        <v>3.07522E-2</v>
      </c>
      <c r="H58" s="136">
        <v>3.2722899999999999E-2</v>
      </c>
      <c r="I58" s="136"/>
      <c r="J58" s="136"/>
      <c r="K58" s="136">
        <v>0.18286430000000001</v>
      </c>
      <c r="L58" s="136">
        <v>6.5402100000000005E-2</v>
      </c>
      <c r="M58" s="136">
        <v>5.5611399999999998E-2</v>
      </c>
      <c r="N58" s="136">
        <v>4.5603299999999999E-2</v>
      </c>
      <c r="O58" s="188" t="str">
        <f t="shared" si="2"/>
        <v/>
      </c>
    </row>
    <row r="59" spans="1:15" x14ac:dyDescent="0.2">
      <c r="A59" s="135" t="s">
        <v>261</v>
      </c>
      <c r="B59" s="145" t="s">
        <v>156</v>
      </c>
      <c r="C59" s="145" t="s">
        <v>94</v>
      </c>
      <c r="D59" s="145">
        <v>4</v>
      </c>
      <c r="E59" s="136">
        <v>2.6955400000000001E-2</v>
      </c>
      <c r="F59" s="136">
        <v>2.81088E-2</v>
      </c>
      <c r="G59" s="136">
        <v>2.9949E-2</v>
      </c>
      <c r="H59" s="136">
        <v>3.21742E-2</v>
      </c>
      <c r="I59" s="136"/>
      <c r="J59" s="136"/>
      <c r="K59" s="136">
        <v>0.177624</v>
      </c>
      <c r="L59" s="136">
        <v>6.6539799999999996E-2</v>
      </c>
      <c r="M59" s="136">
        <v>5.7029499999999997E-2</v>
      </c>
      <c r="N59" s="136">
        <v>5.0032300000000002E-2</v>
      </c>
      <c r="O59" s="188" t="str">
        <f t="shared" si="2"/>
        <v/>
      </c>
    </row>
    <row r="60" spans="1:15" x14ac:dyDescent="0.2">
      <c r="A60" s="135" t="s">
        <v>262</v>
      </c>
      <c r="B60" s="145" t="s">
        <v>156</v>
      </c>
      <c r="C60" s="145" t="s">
        <v>94</v>
      </c>
      <c r="D60" s="145">
        <v>4</v>
      </c>
      <c r="E60" s="136">
        <v>2.8469499999999998E-2</v>
      </c>
      <c r="F60" s="136">
        <v>2.96837E-2</v>
      </c>
      <c r="G60" s="136">
        <v>3.1614000000000003E-2</v>
      </c>
      <c r="H60" s="136">
        <v>3.3939999999999998E-2</v>
      </c>
      <c r="I60" s="136"/>
      <c r="J60" s="136"/>
      <c r="K60" s="136">
        <v>0.1775718</v>
      </c>
      <c r="L60" s="136">
        <v>7.0613400000000007E-2</v>
      </c>
      <c r="M60" s="136">
        <v>6.0301399999999998E-2</v>
      </c>
      <c r="N60" s="136">
        <v>5.3571899999999999E-2</v>
      </c>
      <c r="O60" s="188" t="str">
        <f t="shared" si="2"/>
        <v/>
      </c>
    </row>
    <row r="61" spans="1:15" x14ac:dyDescent="0.2">
      <c r="A61" s="135" t="s">
        <v>263</v>
      </c>
      <c r="B61" s="145" t="s">
        <v>156</v>
      </c>
      <c r="C61" s="145" t="s">
        <v>94</v>
      </c>
      <c r="D61" s="145">
        <v>4</v>
      </c>
      <c r="E61" s="136">
        <v>4.46451E-2</v>
      </c>
      <c r="F61" s="136">
        <v>4.7500899999999999E-2</v>
      </c>
      <c r="G61" s="136">
        <v>5.2137700000000002E-2</v>
      </c>
      <c r="H61" s="136">
        <v>5.7831599999999997E-2</v>
      </c>
      <c r="I61" s="136">
        <v>6.4702399999999993E-2</v>
      </c>
      <c r="J61" s="136">
        <v>8.7815799999999999E-2</v>
      </c>
      <c r="K61" s="136">
        <v>0.31681540000000002</v>
      </c>
      <c r="L61" s="136">
        <v>0.11462319999999999</v>
      </c>
      <c r="M61" s="136">
        <v>9.1857400000000006E-2</v>
      </c>
      <c r="N61" s="136">
        <v>7.6809600000000006E-2</v>
      </c>
      <c r="O61" s="188" t="str">
        <f t="shared" si="2"/>
        <v/>
      </c>
    </row>
    <row r="62" spans="1:15" x14ac:dyDescent="0.2">
      <c r="A62" s="135" t="s">
        <v>264</v>
      </c>
      <c r="B62" s="145" t="s">
        <v>156</v>
      </c>
      <c r="C62" s="145" t="s">
        <v>94</v>
      </c>
      <c r="D62" s="145">
        <v>4</v>
      </c>
      <c r="E62" s="136">
        <v>4.4523899999999998E-2</v>
      </c>
      <c r="F62" s="136">
        <v>4.7379600000000001E-2</v>
      </c>
      <c r="G62" s="136">
        <v>5.2016399999999997E-2</v>
      </c>
      <c r="H62" s="136">
        <v>5.7710400000000002E-2</v>
      </c>
      <c r="I62" s="136">
        <v>6.4581200000000005E-2</v>
      </c>
      <c r="J62" s="136">
        <v>8.7694499999999995E-2</v>
      </c>
      <c r="K62" s="136">
        <v>0.2567625</v>
      </c>
      <c r="L62" s="136">
        <v>8.9330000000000007E-2</v>
      </c>
      <c r="M62" s="136">
        <v>7.2572800000000007E-2</v>
      </c>
      <c r="N62" s="136">
        <v>5.8437799999999998E-2</v>
      </c>
      <c r="O62" s="188" t="str">
        <f t="shared" si="2"/>
        <v/>
      </c>
    </row>
    <row r="63" spans="1:15" x14ac:dyDescent="0.2">
      <c r="A63" s="135" t="s">
        <v>265</v>
      </c>
      <c r="B63" s="145" t="s">
        <v>156</v>
      </c>
      <c r="C63" s="145" t="s">
        <v>94</v>
      </c>
      <c r="D63" s="145">
        <v>4</v>
      </c>
      <c r="E63" s="136">
        <v>4.8160500000000002E-2</v>
      </c>
      <c r="F63" s="136">
        <v>5.1248500000000002E-2</v>
      </c>
      <c r="G63" s="136">
        <v>5.6230500000000003E-2</v>
      </c>
      <c r="H63" s="136">
        <v>6.2309999999999997E-2</v>
      </c>
      <c r="I63" s="136">
        <v>6.9607299999999997E-2</v>
      </c>
      <c r="J63" s="136">
        <v>9.3964800000000001E-2</v>
      </c>
      <c r="K63" s="136">
        <v>0.3570296</v>
      </c>
      <c r="L63" s="136">
        <v>0.12630620000000001</v>
      </c>
      <c r="M63" s="136">
        <v>9.8429500000000003E-2</v>
      </c>
      <c r="N63" s="136">
        <v>8.1206799999999996E-2</v>
      </c>
      <c r="O63" s="188" t="str">
        <f t="shared" si="2"/>
        <v/>
      </c>
    </row>
    <row r="64" spans="1:15" x14ac:dyDescent="0.2">
      <c r="A64" s="135" t="s">
        <v>268</v>
      </c>
      <c r="B64" s="145" t="s">
        <v>156</v>
      </c>
      <c r="C64" s="145" t="s">
        <v>94</v>
      </c>
      <c r="D64" s="145">
        <v>4</v>
      </c>
      <c r="E64" s="136">
        <v>4.25998E-2</v>
      </c>
      <c r="F64" s="136">
        <v>4.5455500000000003E-2</v>
      </c>
      <c r="G64" s="136">
        <v>5.0092299999999999E-2</v>
      </c>
      <c r="H64" s="136">
        <v>5.5786299999999997E-2</v>
      </c>
      <c r="I64" s="136">
        <v>6.2657099999999993E-2</v>
      </c>
      <c r="J64" s="136"/>
      <c r="K64" s="136">
        <v>0.31527240000000001</v>
      </c>
      <c r="L64" s="136">
        <v>0.112567</v>
      </c>
      <c r="M64" s="136">
        <v>8.9817400000000006E-2</v>
      </c>
      <c r="N64" s="136">
        <v>7.4792999999999998E-2</v>
      </c>
      <c r="O64" s="188" t="str">
        <f t="shared" si="2"/>
        <v/>
      </c>
    </row>
    <row r="65" spans="1:15" x14ac:dyDescent="0.2">
      <c r="A65" s="135" t="s">
        <v>266</v>
      </c>
      <c r="B65" s="145" t="s">
        <v>156</v>
      </c>
      <c r="C65" s="145" t="s">
        <v>94</v>
      </c>
      <c r="D65" s="145">
        <v>4</v>
      </c>
      <c r="E65" s="136">
        <v>2.2466799999999999E-2</v>
      </c>
      <c r="F65" s="136">
        <v>2.3230799999999999E-2</v>
      </c>
      <c r="G65" s="136">
        <v>2.4430899999999998E-2</v>
      </c>
      <c r="H65" s="136"/>
      <c r="I65" s="136"/>
      <c r="J65" s="136"/>
      <c r="K65" s="136">
        <v>0.18468190000000001</v>
      </c>
      <c r="L65" s="136">
        <v>5.0020599999999998E-2</v>
      </c>
      <c r="M65" s="136">
        <v>4.2067599999999997E-2</v>
      </c>
      <c r="N65" s="136">
        <v>3.3183999999999998E-2</v>
      </c>
      <c r="O65" s="188" t="str">
        <f t="shared" si="2"/>
        <v/>
      </c>
    </row>
    <row r="66" spans="1:15" x14ac:dyDescent="0.2">
      <c r="A66" s="135" t="s">
        <v>218</v>
      </c>
      <c r="B66" s="145" t="s">
        <v>156</v>
      </c>
      <c r="C66" s="145" t="s">
        <v>94</v>
      </c>
      <c r="D66" s="145">
        <v>6</v>
      </c>
      <c r="E66" s="136">
        <v>4.31466E-2</v>
      </c>
      <c r="F66" s="136">
        <v>4.4889499999999999E-2</v>
      </c>
      <c r="G66" s="136">
        <v>4.7646599999999997E-2</v>
      </c>
      <c r="H66" s="136">
        <v>5.0952699999999997E-2</v>
      </c>
      <c r="I66" s="136"/>
      <c r="J66" s="136"/>
      <c r="K66" s="136">
        <v>0.27945300000000001</v>
      </c>
      <c r="L66" s="136">
        <v>0.100816</v>
      </c>
      <c r="M66" s="136">
        <v>8.57155E-2</v>
      </c>
      <c r="N66" s="136">
        <v>6.8929199999999996E-2</v>
      </c>
      <c r="O66" s="188" t="str">
        <f t="shared" si="2"/>
        <v/>
      </c>
    </row>
    <row r="67" spans="1:15" x14ac:dyDescent="0.2">
      <c r="A67" s="135" t="s">
        <v>228</v>
      </c>
      <c r="B67" s="145" t="s">
        <v>156</v>
      </c>
      <c r="C67" s="145" t="s">
        <v>94</v>
      </c>
      <c r="D67" s="145">
        <v>4</v>
      </c>
      <c r="E67" s="136">
        <v>3.2168000000000002E-2</v>
      </c>
      <c r="F67" s="136">
        <v>3.3578200000000002E-2</v>
      </c>
      <c r="G67" s="136">
        <v>3.5824399999999999E-2</v>
      </c>
      <c r="H67" s="136">
        <v>3.8534899999999997E-2</v>
      </c>
      <c r="I67" s="136"/>
      <c r="J67" s="136"/>
      <c r="K67" s="136">
        <v>0.1959987</v>
      </c>
      <c r="L67" s="136">
        <v>7.0424E-2</v>
      </c>
      <c r="M67" s="136">
        <v>5.9342399999999997E-2</v>
      </c>
      <c r="N67" s="136">
        <v>4.5869800000000002E-2</v>
      </c>
      <c r="O67" s="188" t="str">
        <f t="shared" si="2"/>
        <v/>
      </c>
    </row>
    <row r="68" spans="1:15" x14ac:dyDescent="0.2">
      <c r="A68" s="135" t="s">
        <v>300</v>
      </c>
      <c r="B68" s="145" t="s">
        <v>156</v>
      </c>
      <c r="C68" s="145" t="s">
        <v>94</v>
      </c>
      <c r="D68" s="145">
        <v>4</v>
      </c>
      <c r="E68" s="136">
        <v>3.2748699999999999E-2</v>
      </c>
      <c r="F68" s="136">
        <v>3.4159000000000002E-2</v>
      </c>
      <c r="G68" s="136">
        <v>3.6405100000000003E-2</v>
      </c>
      <c r="H68" s="136">
        <v>3.91156E-2</v>
      </c>
      <c r="I68" s="136"/>
      <c r="J68" s="136"/>
      <c r="K68" s="136">
        <v>0.2224303</v>
      </c>
      <c r="L68" s="136">
        <v>6.0847400000000003E-2</v>
      </c>
      <c r="M68" s="136">
        <v>5.0013700000000001E-2</v>
      </c>
      <c r="N68" s="136">
        <v>3.9574499999999999E-2</v>
      </c>
      <c r="O68" s="188" t="str">
        <f t="shared" si="2"/>
        <v/>
      </c>
    </row>
    <row r="69" spans="1:15" x14ac:dyDescent="0.2">
      <c r="A69" s="135" t="s">
        <v>229</v>
      </c>
      <c r="B69" s="145" t="s">
        <v>156</v>
      </c>
      <c r="C69" s="145" t="s">
        <v>94</v>
      </c>
      <c r="D69" s="145">
        <v>4</v>
      </c>
      <c r="E69" s="136">
        <v>3.44198E-2</v>
      </c>
      <c r="F69" s="136">
        <v>3.59125E-2</v>
      </c>
      <c r="G69" s="136">
        <v>3.8280700000000001E-2</v>
      </c>
      <c r="H69" s="136">
        <v>4.11271E-2</v>
      </c>
      <c r="I69" s="136"/>
      <c r="J69" s="136"/>
      <c r="K69" s="136">
        <v>0.19499710000000001</v>
      </c>
      <c r="L69" s="136">
        <v>7.6605000000000006E-2</v>
      </c>
      <c r="M69" s="136">
        <v>6.4088199999999998E-2</v>
      </c>
      <c r="N69" s="136">
        <v>5.0439900000000003E-2</v>
      </c>
      <c r="O69" s="188" t="str">
        <f t="shared" si="2"/>
        <v/>
      </c>
    </row>
    <row r="70" spans="1:15" x14ac:dyDescent="0.2">
      <c r="A70" s="135" t="s">
        <v>299</v>
      </c>
      <c r="B70" s="145" t="s">
        <v>156</v>
      </c>
      <c r="C70" s="145" t="s">
        <v>94</v>
      </c>
      <c r="D70" s="145">
        <v>4</v>
      </c>
      <c r="E70" s="136">
        <v>3.1103599999999999E-2</v>
      </c>
      <c r="F70" s="136">
        <v>3.2513800000000002E-2</v>
      </c>
      <c r="G70" s="136">
        <v>3.4759999999999999E-2</v>
      </c>
      <c r="H70" s="136">
        <v>3.7470499999999997E-2</v>
      </c>
      <c r="I70" s="136"/>
      <c r="J70" s="136"/>
      <c r="K70" s="136">
        <v>0.21974560000000001</v>
      </c>
      <c r="L70" s="136">
        <v>6.0194400000000002E-2</v>
      </c>
      <c r="M70" s="136">
        <v>4.9601100000000002E-2</v>
      </c>
      <c r="N70" s="136">
        <v>3.9715899999999998E-2</v>
      </c>
      <c r="O70" s="188" t="str">
        <f t="shared" si="2"/>
        <v/>
      </c>
    </row>
    <row r="71" spans="1:15" x14ac:dyDescent="0.2">
      <c r="A71" s="135" t="s">
        <v>216</v>
      </c>
      <c r="B71" s="145" t="s">
        <v>156</v>
      </c>
      <c r="C71" s="145" t="s">
        <v>94</v>
      </c>
      <c r="D71" s="145">
        <v>4</v>
      </c>
      <c r="E71" s="136">
        <v>3.2884799999999999E-2</v>
      </c>
      <c r="F71" s="136">
        <v>3.4377499999999998E-2</v>
      </c>
      <c r="G71" s="136">
        <v>3.6745699999999999E-2</v>
      </c>
      <c r="H71" s="136">
        <v>3.9592200000000001E-2</v>
      </c>
      <c r="I71" s="136"/>
      <c r="J71" s="136"/>
      <c r="K71" s="136">
        <v>0.189996</v>
      </c>
      <c r="L71" s="136">
        <v>7.63123E-2</v>
      </c>
      <c r="M71" s="136">
        <v>6.3748899999999997E-2</v>
      </c>
      <c r="N71" s="136">
        <v>5.1826700000000003E-2</v>
      </c>
      <c r="O71" s="188" t="str">
        <f t="shared" si="2"/>
        <v/>
      </c>
    </row>
    <row r="72" spans="1:15" x14ac:dyDescent="0.2">
      <c r="A72" s="135" t="s">
        <v>303</v>
      </c>
      <c r="B72" s="145" t="s">
        <v>156</v>
      </c>
      <c r="C72" s="145" t="s">
        <v>94</v>
      </c>
      <c r="D72" s="145">
        <v>4</v>
      </c>
      <c r="E72" s="136">
        <v>2.4827100000000001E-2</v>
      </c>
      <c r="F72" s="136"/>
      <c r="G72" s="136"/>
      <c r="H72" s="136"/>
      <c r="I72" s="136"/>
      <c r="J72" s="136"/>
      <c r="K72" s="136">
        <v>0.1898581</v>
      </c>
      <c r="L72" s="136">
        <v>5.3511000000000003E-2</v>
      </c>
      <c r="M72" s="136">
        <v>4.5102200000000002E-2</v>
      </c>
      <c r="N72" s="136">
        <v>3.4984300000000003E-2</v>
      </c>
      <c r="O72" s="188" t="str">
        <f t="shared" si="2"/>
        <v/>
      </c>
    </row>
    <row r="73" spans="1:15" x14ac:dyDescent="0.2">
      <c r="A73" s="135" t="s">
        <v>302</v>
      </c>
      <c r="B73" s="145" t="s">
        <v>156</v>
      </c>
      <c r="C73" s="145" t="s">
        <v>94</v>
      </c>
      <c r="D73" s="145">
        <v>4</v>
      </c>
      <c r="E73" s="136">
        <v>2.9546900000000001E-2</v>
      </c>
      <c r="F73" s="136">
        <v>3.0797999999999999E-2</v>
      </c>
      <c r="G73" s="136">
        <v>3.2780400000000001E-2</v>
      </c>
      <c r="H73" s="136">
        <v>3.5160700000000003E-2</v>
      </c>
      <c r="I73" s="136"/>
      <c r="J73" s="136"/>
      <c r="K73" s="136">
        <v>0.1909507</v>
      </c>
      <c r="L73" s="136">
        <v>6.6714899999999994E-2</v>
      </c>
      <c r="M73" s="136">
        <v>5.6417399999999999E-2</v>
      </c>
      <c r="N73" s="136">
        <v>4.6172499999999998E-2</v>
      </c>
      <c r="O73" s="188" t="str">
        <f t="shared" ref="O73:O104" si="3">IF(AND(B73=B$5,C73=C$5,D73=D$5,AND(E73&lt;=E$5,E73&gt;=E$6),AND(F73&lt;=F$5,F73&gt;=F$6),AND(G73&lt;=G$5,G73&gt;=G$6),AND(H73&lt;=H$5,H73&gt;=H$6),AND(I73&lt;=I$5,I73&gt;=I$6),AND(J73&lt;=J$5,J73&gt;=J$6),AND(K73&lt;=K$5,K73&gt;=K$6),AND(L73&lt;=L$5,L73&gt;=L$6),AND(M73&lt;=M$5,M73&gt;=M$6),AND(N73&lt;=N$5,N73&gt;=N$6)),"ü","")</f>
        <v/>
      </c>
    </row>
    <row r="74" spans="1:15" x14ac:dyDescent="0.2">
      <c r="A74" s="135" t="s">
        <v>225</v>
      </c>
      <c r="B74" s="145" t="s">
        <v>156</v>
      </c>
      <c r="C74" s="145" t="s">
        <v>94</v>
      </c>
      <c r="D74" s="145">
        <v>4</v>
      </c>
      <c r="E74" s="136">
        <v>5.3535899999999997E-2</v>
      </c>
      <c r="F74" s="136">
        <v>5.6930700000000001E-2</v>
      </c>
      <c r="G74" s="136">
        <v>6.2366199999999997E-2</v>
      </c>
      <c r="H74" s="136">
        <v>6.8950600000000001E-2</v>
      </c>
      <c r="I74" s="136">
        <v>7.68036E-2</v>
      </c>
      <c r="J74" s="136">
        <v>0.10277509999999999</v>
      </c>
      <c r="K74" s="136">
        <v>0.41940179999999999</v>
      </c>
      <c r="L74" s="136">
        <v>0.1495948</v>
      </c>
      <c r="M74" s="136">
        <v>0.1113965</v>
      </c>
      <c r="N74" s="136">
        <v>8.4641900000000006E-2</v>
      </c>
      <c r="O74" s="188" t="str">
        <f t="shared" si="3"/>
        <v/>
      </c>
    </row>
    <row r="75" spans="1:15" x14ac:dyDescent="0.2">
      <c r="A75" s="135" t="s">
        <v>224</v>
      </c>
      <c r="B75" s="145" t="s">
        <v>156</v>
      </c>
      <c r="C75" s="145" t="s">
        <v>94</v>
      </c>
      <c r="D75" s="145">
        <v>4</v>
      </c>
      <c r="E75" s="136">
        <v>4.9713300000000002E-2</v>
      </c>
      <c r="F75" s="136">
        <v>5.28741E-2</v>
      </c>
      <c r="G75" s="136">
        <v>5.7963899999999999E-2</v>
      </c>
      <c r="H75" s="136">
        <v>6.4163799999999993E-2</v>
      </c>
      <c r="I75" s="136">
        <v>7.1593599999999993E-2</v>
      </c>
      <c r="J75" s="136">
        <v>9.6337000000000006E-2</v>
      </c>
      <c r="K75" s="136">
        <v>0.3752973</v>
      </c>
      <c r="L75" s="136">
        <v>0.13461709999999999</v>
      </c>
      <c r="M75" s="136">
        <v>0.103008</v>
      </c>
      <c r="N75" s="136">
        <v>8.1233399999999997E-2</v>
      </c>
      <c r="O75" s="188" t="str">
        <f t="shared" si="3"/>
        <v/>
      </c>
    </row>
    <row r="76" spans="1:15" x14ac:dyDescent="0.2">
      <c r="A76" s="135" t="s">
        <v>267</v>
      </c>
      <c r="B76" s="145" t="s">
        <v>156</v>
      </c>
      <c r="C76" s="145" t="s">
        <v>94</v>
      </c>
      <c r="D76" s="145">
        <v>4</v>
      </c>
      <c r="E76" s="136">
        <v>4.8160500000000002E-2</v>
      </c>
      <c r="F76" s="136">
        <v>5.1248500000000002E-2</v>
      </c>
      <c r="G76" s="136">
        <v>5.6230500000000003E-2</v>
      </c>
      <c r="H76" s="136">
        <v>6.2309999999999997E-2</v>
      </c>
      <c r="I76" s="136">
        <v>6.9607299999999997E-2</v>
      </c>
      <c r="J76" s="136">
        <v>9.3964800000000001E-2</v>
      </c>
      <c r="K76" s="136">
        <v>0.3570296</v>
      </c>
      <c r="L76" s="136">
        <v>0.12630620000000001</v>
      </c>
      <c r="M76" s="136">
        <v>9.8429500000000003E-2</v>
      </c>
      <c r="N76" s="136">
        <v>8.1206799999999996E-2</v>
      </c>
      <c r="O76" s="188" t="str">
        <f t="shared" si="3"/>
        <v/>
      </c>
    </row>
    <row r="77" spans="1:15" x14ac:dyDescent="0.2">
      <c r="A77" s="135" t="s">
        <v>269</v>
      </c>
      <c r="B77" s="145" t="s">
        <v>156</v>
      </c>
      <c r="C77" s="145" t="s">
        <v>94</v>
      </c>
      <c r="D77" s="145">
        <v>4</v>
      </c>
      <c r="E77" s="136">
        <v>5.6456100000000002E-2</v>
      </c>
      <c r="F77" s="136">
        <v>6.0033099999999999E-2</v>
      </c>
      <c r="G77" s="136">
        <v>6.5737199999999996E-2</v>
      </c>
      <c r="H77" s="136">
        <v>7.2619199999999995E-2</v>
      </c>
      <c r="I77" s="136">
        <v>8.0799200000000002E-2</v>
      </c>
      <c r="J77" s="136">
        <v>0.1077158</v>
      </c>
      <c r="K77" s="136">
        <v>0.43993339999999997</v>
      </c>
      <c r="L77" s="136">
        <v>0.1561332</v>
      </c>
      <c r="M77" s="136">
        <v>0.1159534</v>
      </c>
      <c r="N77" s="136">
        <v>8.8844900000000004E-2</v>
      </c>
      <c r="O77" s="188" t="str">
        <f t="shared" si="3"/>
        <v/>
      </c>
    </row>
    <row r="78" spans="1:15" x14ac:dyDescent="0.2">
      <c r="A78" s="135" t="s">
        <v>352</v>
      </c>
      <c r="B78" s="145" t="s">
        <v>156</v>
      </c>
      <c r="C78" s="145" t="s">
        <v>94</v>
      </c>
      <c r="D78" s="145">
        <v>4</v>
      </c>
      <c r="E78" s="136">
        <v>3.7179400000000001E-2</v>
      </c>
      <c r="F78" s="136">
        <v>3.95041E-2</v>
      </c>
      <c r="G78" s="136">
        <v>4.3298099999999999E-2</v>
      </c>
      <c r="H78" s="136"/>
      <c r="I78" s="136"/>
      <c r="J78" s="136"/>
      <c r="K78" s="136">
        <v>0.21639449999999999</v>
      </c>
      <c r="L78" s="136">
        <v>8.6238099999999998E-2</v>
      </c>
      <c r="M78" s="136">
        <v>7.32936E-2</v>
      </c>
      <c r="N78" s="136">
        <v>5.80431E-2</v>
      </c>
      <c r="O78" s="188" t="str">
        <f t="shared" si="3"/>
        <v/>
      </c>
    </row>
    <row r="79" spans="1:15" x14ac:dyDescent="0.2">
      <c r="A79" s="135" t="s">
        <v>221</v>
      </c>
      <c r="B79" s="145" t="s">
        <v>156</v>
      </c>
      <c r="C79" s="145" t="s">
        <v>94</v>
      </c>
      <c r="D79" s="145">
        <v>4</v>
      </c>
      <c r="E79" s="136">
        <v>3.37019E-2</v>
      </c>
      <c r="F79" s="136">
        <v>3.5300499999999999E-2</v>
      </c>
      <c r="G79" s="136">
        <v>3.7853199999999997E-2</v>
      </c>
      <c r="H79" s="136">
        <v>4.0940600000000001E-2</v>
      </c>
      <c r="I79" s="136"/>
      <c r="J79" s="136"/>
      <c r="K79" s="136">
        <v>0.19592319999999999</v>
      </c>
      <c r="L79" s="136">
        <v>7.8621999999999997E-2</v>
      </c>
      <c r="M79" s="136">
        <v>6.6529099999999994E-2</v>
      </c>
      <c r="N79" s="136">
        <v>5.7058999999999999E-2</v>
      </c>
      <c r="O79" s="188" t="str">
        <f t="shared" si="3"/>
        <v/>
      </c>
    </row>
    <row r="80" spans="1:15" x14ac:dyDescent="0.2">
      <c r="A80" s="135" t="s">
        <v>231</v>
      </c>
      <c r="B80" s="145" t="s">
        <v>159</v>
      </c>
      <c r="C80" s="145" t="s">
        <v>158</v>
      </c>
      <c r="D80" s="145">
        <v>4</v>
      </c>
      <c r="E80" s="136">
        <v>2.3563199999999999E-2</v>
      </c>
      <c r="F80" s="136">
        <v>2.44611E-2</v>
      </c>
      <c r="G80" s="136">
        <v>2.58899E-2</v>
      </c>
      <c r="H80" s="136"/>
      <c r="I80" s="136"/>
      <c r="J80" s="136"/>
      <c r="K80" s="136">
        <v>0.18429670000000001</v>
      </c>
      <c r="L80" s="136">
        <v>5.3751300000000002E-2</v>
      </c>
      <c r="M80" s="136">
        <v>4.5602299999999998E-2</v>
      </c>
      <c r="N80" s="136">
        <v>2.8194500000000001E-2</v>
      </c>
      <c r="O80" s="188" t="str">
        <f t="shared" si="3"/>
        <v/>
      </c>
    </row>
    <row r="81" spans="1:15" x14ac:dyDescent="0.2">
      <c r="A81" s="135" t="s">
        <v>230</v>
      </c>
      <c r="B81" s="145" t="s">
        <v>159</v>
      </c>
      <c r="C81" s="145" t="s">
        <v>158</v>
      </c>
      <c r="D81" s="145">
        <v>4</v>
      </c>
      <c r="E81" s="136">
        <v>2.22901E-2</v>
      </c>
      <c r="F81" s="136">
        <v>2.31202E-2</v>
      </c>
      <c r="G81" s="136">
        <v>2.4434600000000001E-2</v>
      </c>
      <c r="H81" s="136"/>
      <c r="I81" s="136"/>
      <c r="J81" s="136"/>
      <c r="K81" s="136">
        <v>0.18431649999999999</v>
      </c>
      <c r="L81" s="136">
        <v>5.0304500000000002E-2</v>
      </c>
      <c r="M81" s="136">
        <v>4.2561300000000003E-2</v>
      </c>
      <c r="N81" s="136">
        <v>3.7260399999999999E-2</v>
      </c>
      <c r="O81" s="188" t="str">
        <f t="shared" si="3"/>
        <v/>
      </c>
    </row>
    <row r="82" spans="1:15" x14ac:dyDescent="0.2">
      <c r="A82" s="135" t="s">
        <v>360</v>
      </c>
      <c r="B82" s="145" t="s">
        <v>159</v>
      </c>
      <c r="C82" s="145" t="s">
        <v>158</v>
      </c>
      <c r="D82" s="145">
        <v>2</v>
      </c>
      <c r="E82" s="136">
        <v>1.4158799999999999E-2</v>
      </c>
      <c r="F82" s="136">
        <v>1.5007299999999999E-2</v>
      </c>
      <c r="G82" s="136">
        <v>1.6402900000000002E-2</v>
      </c>
      <c r="H82" s="136"/>
      <c r="I82" s="136"/>
      <c r="J82" s="136"/>
      <c r="K82" s="136">
        <v>3.6443099999999999E-2</v>
      </c>
      <c r="L82" s="136">
        <v>1.7818299999999999E-2</v>
      </c>
      <c r="M82" s="136">
        <v>1.6709499999999999E-2</v>
      </c>
      <c r="N82" s="136">
        <v>1.55707E-2</v>
      </c>
      <c r="O82" s="188" t="str">
        <f t="shared" si="3"/>
        <v/>
      </c>
    </row>
    <row r="83" spans="1:15" x14ac:dyDescent="0.2">
      <c r="A83" s="135" t="s">
        <v>310</v>
      </c>
      <c r="B83" s="145" t="s">
        <v>159</v>
      </c>
      <c r="C83" s="145" t="s">
        <v>158</v>
      </c>
      <c r="D83" s="145">
        <v>2</v>
      </c>
      <c r="E83" s="136">
        <v>2.3196399999999999E-2</v>
      </c>
      <c r="F83" s="136">
        <v>2.4572099999999999E-2</v>
      </c>
      <c r="G83" s="136">
        <v>2.6751E-2</v>
      </c>
      <c r="H83" s="136"/>
      <c r="I83" s="136"/>
      <c r="J83" s="136"/>
      <c r="K83" s="136">
        <v>8.3398899999999998E-2</v>
      </c>
      <c r="L83" s="136">
        <v>3.2451399999999998E-2</v>
      </c>
      <c r="M83" s="136">
        <v>2.8917999999999999E-2</v>
      </c>
      <c r="N83" s="136">
        <v>2.6013000000000001E-2</v>
      </c>
      <c r="O83" s="188" t="str">
        <f t="shared" si="3"/>
        <v/>
      </c>
    </row>
    <row r="84" spans="1:15" x14ac:dyDescent="0.2">
      <c r="A84" s="135" t="s">
        <v>311</v>
      </c>
      <c r="B84" s="145" t="s">
        <v>159</v>
      </c>
      <c r="C84" s="145" t="s">
        <v>158</v>
      </c>
      <c r="D84" s="145">
        <v>2</v>
      </c>
      <c r="E84" s="136">
        <v>2.9113400000000001E-2</v>
      </c>
      <c r="F84" s="136">
        <v>3.08568E-2</v>
      </c>
      <c r="G84" s="136">
        <v>3.3572100000000001E-2</v>
      </c>
      <c r="H84" s="136"/>
      <c r="I84" s="136"/>
      <c r="J84" s="136"/>
      <c r="K84" s="136">
        <v>0.1170115</v>
      </c>
      <c r="L84" s="136">
        <v>4.31606E-2</v>
      </c>
      <c r="M84" s="136">
        <v>3.7412300000000002E-2</v>
      </c>
      <c r="N84" s="136">
        <v>3.2987200000000001E-2</v>
      </c>
      <c r="O84" s="188" t="str">
        <f t="shared" si="3"/>
        <v/>
      </c>
    </row>
    <row r="85" spans="1:15" x14ac:dyDescent="0.2">
      <c r="A85" s="135" t="s">
        <v>312</v>
      </c>
      <c r="B85" s="145" t="s">
        <v>159</v>
      </c>
      <c r="C85" s="145" t="s">
        <v>158</v>
      </c>
      <c r="D85" s="145">
        <v>2</v>
      </c>
      <c r="E85" s="136">
        <v>3.5573199999999999E-2</v>
      </c>
      <c r="F85" s="136">
        <v>3.7732700000000001E-2</v>
      </c>
      <c r="G85" s="136">
        <v>4.1049099999999998E-2</v>
      </c>
      <c r="H85" s="136"/>
      <c r="I85" s="136"/>
      <c r="J85" s="136"/>
      <c r="K85" s="136">
        <v>0.15747749999999999</v>
      </c>
      <c r="L85" s="136">
        <v>5.5846699999999999E-2</v>
      </c>
      <c r="M85" s="136">
        <v>4.70835E-2</v>
      </c>
      <c r="N85" s="136">
        <v>4.0697999999999998E-2</v>
      </c>
      <c r="O85" s="188" t="str">
        <f t="shared" si="3"/>
        <v/>
      </c>
    </row>
    <row r="86" spans="1:15" x14ac:dyDescent="0.2">
      <c r="A86" s="135" t="s">
        <v>313</v>
      </c>
      <c r="B86" s="145" t="s">
        <v>159</v>
      </c>
      <c r="C86" s="145" t="s">
        <v>158</v>
      </c>
      <c r="D86" s="145">
        <v>2</v>
      </c>
      <c r="E86" s="136">
        <v>1.4158799999999999E-2</v>
      </c>
      <c r="F86" s="136">
        <v>1.5007299999999999E-2</v>
      </c>
      <c r="G86" s="136">
        <v>1.6402900000000002E-2</v>
      </c>
      <c r="H86" s="136"/>
      <c r="I86" s="136"/>
      <c r="J86" s="136"/>
      <c r="K86" s="136">
        <v>3.6443099999999999E-2</v>
      </c>
      <c r="L86" s="136">
        <v>1.7818299999999999E-2</v>
      </c>
      <c r="M86" s="136">
        <v>1.6709499999999999E-2</v>
      </c>
      <c r="N86" s="136">
        <v>1.55707E-2</v>
      </c>
      <c r="O86" s="188" t="str">
        <f t="shared" si="3"/>
        <v/>
      </c>
    </row>
    <row r="87" spans="1:15" x14ac:dyDescent="0.2">
      <c r="A87" s="135" t="s">
        <v>314</v>
      </c>
      <c r="B87" s="145" t="s">
        <v>159</v>
      </c>
      <c r="C87" s="145" t="s">
        <v>158</v>
      </c>
      <c r="D87" s="145">
        <v>2</v>
      </c>
      <c r="E87" s="136">
        <v>1.7876300000000001E-2</v>
      </c>
      <c r="F87" s="136">
        <v>1.89328E-2</v>
      </c>
      <c r="G87" s="136">
        <v>2.0639999999999999E-2</v>
      </c>
      <c r="H87" s="136"/>
      <c r="I87" s="136"/>
      <c r="J87" s="136"/>
      <c r="K87" s="136">
        <v>5.5833300000000002E-2</v>
      </c>
      <c r="L87" s="136">
        <v>2.35398E-2</v>
      </c>
      <c r="M87" s="136">
        <v>2.1592900000000002E-2</v>
      </c>
      <c r="N87" s="136">
        <v>1.9822800000000002E-2</v>
      </c>
      <c r="O87" s="188" t="str">
        <f t="shared" si="3"/>
        <v/>
      </c>
    </row>
    <row r="88" spans="1:15" x14ac:dyDescent="0.2">
      <c r="A88" s="135" t="s">
        <v>361</v>
      </c>
      <c r="B88" s="145" t="s">
        <v>159</v>
      </c>
      <c r="C88" s="145" t="s">
        <v>158</v>
      </c>
      <c r="D88" s="145">
        <v>3</v>
      </c>
      <c r="E88" s="136">
        <v>1.83579E-2</v>
      </c>
      <c r="F88" s="136">
        <v>1.9834000000000001E-2</v>
      </c>
      <c r="G88" s="136">
        <v>2.2232999999999999E-2</v>
      </c>
      <c r="H88" s="136"/>
      <c r="I88" s="136"/>
      <c r="J88" s="136"/>
      <c r="K88" s="136">
        <v>6.6966700000000004E-2</v>
      </c>
      <c r="L88" s="136">
        <v>2.5758900000000001E-2</v>
      </c>
      <c r="M88" s="136">
        <v>2.3303999999999998E-2</v>
      </c>
      <c r="N88" s="136">
        <v>2.0993700000000001E-2</v>
      </c>
      <c r="O88" s="188" t="str">
        <f t="shared" si="3"/>
        <v/>
      </c>
    </row>
    <row r="89" spans="1:15" x14ac:dyDescent="0.2">
      <c r="A89" s="135" t="s">
        <v>315</v>
      </c>
      <c r="B89" s="145" t="s">
        <v>159</v>
      </c>
      <c r="C89" s="145" t="s">
        <v>158</v>
      </c>
      <c r="D89" s="145">
        <v>3</v>
      </c>
      <c r="E89" s="136">
        <v>2.6042599999999999E-2</v>
      </c>
      <c r="F89" s="136">
        <v>2.8106200000000001E-2</v>
      </c>
      <c r="G89" s="136">
        <v>3.1374600000000002E-2</v>
      </c>
      <c r="H89" s="136"/>
      <c r="I89" s="136"/>
      <c r="J89" s="136"/>
      <c r="K89" s="136">
        <v>0.108678</v>
      </c>
      <c r="L89" s="136">
        <v>3.9925200000000001E-2</v>
      </c>
      <c r="M89" s="136">
        <v>3.4625000000000003E-2</v>
      </c>
      <c r="N89" s="136">
        <v>3.0267599999999999E-2</v>
      </c>
      <c r="O89" s="188" t="str">
        <f t="shared" si="3"/>
        <v/>
      </c>
    </row>
    <row r="90" spans="1:15" x14ac:dyDescent="0.2">
      <c r="A90" s="135" t="s">
        <v>316</v>
      </c>
      <c r="B90" s="145" t="s">
        <v>159</v>
      </c>
      <c r="C90" s="145" t="s">
        <v>158</v>
      </c>
      <c r="D90" s="145">
        <v>3</v>
      </c>
      <c r="E90" s="136">
        <v>3.3138099999999997E-2</v>
      </c>
      <c r="F90" s="136">
        <v>3.5753100000000003E-2</v>
      </c>
      <c r="G90" s="136">
        <v>3.9826E-2</v>
      </c>
      <c r="H90" s="136"/>
      <c r="I90" s="136"/>
      <c r="J90" s="136"/>
      <c r="K90" s="136">
        <v>0.1552279</v>
      </c>
      <c r="L90" s="136">
        <v>5.4208800000000001E-2</v>
      </c>
      <c r="M90" s="136">
        <v>4.5586300000000003E-2</v>
      </c>
      <c r="N90" s="136">
        <v>3.89486E-2</v>
      </c>
      <c r="O90" s="188" t="str">
        <f t="shared" si="3"/>
        <v/>
      </c>
    </row>
    <row r="91" spans="1:15" x14ac:dyDescent="0.2">
      <c r="A91" s="135" t="s">
        <v>317</v>
      </c>
      <c r="B91" s="145" t="s">
        <v>159</v>
      </c>
      <c r="C91" s="145" t="s">
        <v>158</v>
      </c>
      <c r="D91" s="145">
        <v>3</v>
      </c>
      <c r="E91" s="136">
        <v>4.1083799999999997E-2</v>
      </c>
      <c r="F91" s="136">
        <v>4.4323000000000001E-2</v>
      </c>
      <c r="G91" s="136">
        <v>4.9297599999999997E-2</v>
      </c>
      <c r="H91" s="136"/>
      <c r="I91" s="136"/>
      <c r="J91" s="136"/>
      <c r="K91" s="136">
        <v>0.2124289</v>
      </c>
      <c r="L91" s="136">
        <v>7.1458499999999994E-2</v>
      </c>
      <c r="M91" s="136">
        <v>5.8349199999999997E-2</v>
      </c>
      <c r="N91" s="136">
        <v>4.8771000000000002E-2</v>
      </c>
      <c r="O91" s="188" t="str">
        <f t="shared" si="3"/>
        <v/>
      </c>
    </row>
    <row r="92" spans="1:15" x14ac:dyDescent="0.2">
      <c r="A92" s="135" t="s">
        <v>318</v>
      </c>
      <c r="B92" s="145" t="s">
        <v>159</v>
      </c>
      <c r="C92" s="145" t="s">
        <v>158</v>
      </c>
      <c r="D92" s="145">
        <v>3</v>
      </c>
      <c r="E92" s="136">
        <v>1.83579E-2</v>
      </c>
      <c r="F92" s="136">
        <v>1.9834000000000001E-2</v>
      </c>
      <c r="G92" s="136">
        <v>2.2232999999999999E-2</v>
      </c>
      <c r="H92" s="136"/>
      <c r="I92" s="136"/>
      <c r="J92" s="136"/>
      <c r="K92" s="136">
        <v>6.6966700000000004E-2</v>
      </c>
      <c r="L92" s="136">
        <v>2.5758900000000001E-2</v>
      </c>
      <c r="M92" s="136">
        <v>2.3303999999999998E-2</v>
      </c>
      <c r="N92" s="136">
        <v>2.0993700000000001E-2</v>
      </c>
      <c r="O92" s="188" t="str">
        <f t="shared" si="3"/>
        <v/>
      </c>
    </row>
    <row r="93" spans="1:15" x14ac:dyDescent="0.2">
      <c r="A93" s="135" t="s">
        <v>319</v>
      </c>
      <c r="B93" s="145" t="s">
        <v>159</v>
      </c>
      <c r="C93" s="145" t="s">
        <v>158</v>
      </c>
      <c r="D93" s="145">
        <v>3</v>
      </c>
      <c r="E93" s="136">
        <v>1.9812300000000001E-2</v>
      </c>
      <c r="F93" s="136">
        <v>2.13969E-2</v>
      </c>
      <c r="G93" s="136">
        <v>2.3957699999999998E-2</v>
      </c>
      <c r="H93" s="136"/>
      <c r="I93" s="136"/>
      <c r="J93" s="136"/>
      <c r="K93" s="136">
        <v>7.1484000000000006E-2</v>
      </c>
      <c r="L93" s="136">
        <v>2.8307499999999999E-2</v>
      </c>
      <c r="M93" s="136">
        <v>2.5387199999999999E-2</v>
      </c>
      <c r="N93" s="136">
        <v>2.2731999999999999E-2</v>
      </c>
      <c r="O93" s="188" t="str">
        <f t="shared" si="3"/>
        <v/>
      </c>
    </row>
    <row r="94" spans="1:15" x14ac:dyDescent="0.2">
      <c r="A94" s="135" t="s">
        <v>362</v>
      </c>
      <c r="B94" s="145" t="s">
        <v>159</v>
      </c>
      <c r="C94" s="145" t="s">
        <v>158</v>
      </c>
      <c r="D94" s="145">
        <v>4</v>
      </c>
      <c r="E94" s="136">
        <v>2.8317599999999998E-2</v>
      </c>
      <c r="F94" s="136">
        <v>3.0014599999999999E-2</v>
      </c>
      <c r="G94" s="136">
        <v>3.2805800000000003E-2</v>
      </c>
      <c r="H94" s="136"/>
      <c r="I94" s="136"/>
      <c r="J94" s="136"/>
      <c r="K94" s="136">
        <v>7.2886300000000001E-2</v>
      </c>
      <c r="L94" s="136">
        <v>3.5636500000000002E-2</v>
      </c>
      <c r="M94" s="136">
        <v>3.34191E-2</v>
      </c>
      <c r="N94" s="136">
        <v>3.11414E-2</v>
      </c>
      <c r="O94" s="188" t="str">
        <f t="shared" si="3"/>
        <v/>
      </c>
    </row>
    <row r="95" spans="1:15" x14ac:dyDescent="0.2">
      <c r="A95" s="135" t="s">
        <v>320</v>
      </c>
      <c r="B95" s="145" t="s">
        <v>159</v>
      </c>
      <c r="C95" s="145" t="s">
        <v>158</v>
      </c>
      <c r="D95" s="145">
        <v>4</v>
      </c>
      <c r="E95" s="136">
        <v>4.6392700000000002E-2</v>
      </c>
      <c r="F95" s="136">
        <v>4.9144199999999999E-2</v>
      </c>
      <c r="G95" s="136">
        <v>5.3502099999999997E-2</v>
      </c>
      <c r="H95" s="136"/>
      <c r="I95" s="136"/>
      <c r="J95" s="136"/>
      <c r="K95" s="136">
        <v>0.1667979</v>
      </c>
      <c r="L95" s="136">
        <v>6.4902799999999997E-2</v>
      </c>
      <c r="M95" s="136">
        <v>5.7835999999999999E-2</v>
      </c>
      <c r="N95" s="136">
        <v>5.2026099999999999E-2</v>
      </c>
      <c r="O95" s="188" t="str">
        <f t="shared" si="3"/>
        <v/>
      </c>
    </row>
    <row r="96" spans="1:15" x14ac:dyDescent="0.2">
      <c r="A96" s="135" t="s">
        <v>321</v>
      </c>
      <c r="B96" s="145" t="s">
        <v>159</v>
      </c>
      <c r="C96" s="145" t="s">
        <v>158</v>
      </c>
      <c r="D96" s="145">
        <v>4</v>
      </c>
      <c r="E96" s="136">
        <v>5.8226899999999998E-2</v>
      </c>
      <c r="F96" s="136">
        <v>6.17136E-2</v>
      </c>
      <c r="G96" s="136">
        <v>6.7144200000000001E-2</v>
      </c>
      <c r="H96" s="136"/>
      <c r="I96" s="136"/>
      <c r="J96" s="136"/>
      <c r="K96" s="136">
        <v>0.23402300000000001</v>
      </c>
      <c r="L96" s="136">
        <v>8.6321200000000001E-2</v>
      </c>
      <c r="M96" s="136">
        <v>7.4824500000000002E-2</v>
      </c>
      <c r="N96" s="136">
        <v>6.59743E-2</v>
      </c>
      <c r="O96" s="188" t="str">
        <f t="shared" si="3"/>
        <v/>
      </c>
    </row>
    <row r="97" spans="1:17" x14ac:dyDescent="0.2">
      <c r="A97" s="135" t="s">
        <v>322</v>
      </c>
      <c r="B97" s="145" t="s">
        <v>159</v>
      </c>
      <c r="C97" s="145" t="s">
        <v>158</v>
      </c>
      <c r="D97" s="145">
        <v>4</v>
      </c>
      <c r="E97" s="136">
        <v>7.1146500000000001E-2</v>
      </c>
      <c r="F97" s="136">
        <v>7.5465400000000002E-2</v>
      </c>
      <c r="G97" s="136">
        <v>8.2098199999999996E-2</v>
      </c>
      <c r="H97" s="136"/>
      <c r="I97" s="136"/>
      <c r="J97" s="136"/>
      <c r="K97" s="136">
        <v>0.31495499999999998</v>
      </c>
      <c r="L97" s="136">
        <v>0.1116933</v>
      </c>
      <c r="M97" s="136">
        <v>9.4167000000000001E-2</v>
      </c>
      <c r="N97" s="136">
        <v>8.1395999999999996E-2</v>
      </c>
      <c r="O97" s="188" t="str">
        <f t="shared" si="3"/>
        <v/>
      </c>
    </row>
    <row r="98" spans="1:17" x14ac:dyDescent="0.2">
      <c r="A98" s="135" t="s">
        <v>323</v>
      </c>
      <c r="B98" s="145" t="s">
        <v>159</v>
      </c>
      <c r="C98" s="145" t="s">
        <v>158</v>
      </c>
      <c r="D98" s="145">
        <v>4</v>
      </c>
      <c r="E98" s="136">
        <v>2.8317599999999998E-2</v>
      </c>
      <c r="F98" s="136">
        <v>3.0014599999999999E-2</v>
      </c>
      <c r="G98" s="136">
        <v>3.2805800000000003E-2</v>
      </c>
      <c r="H98" s="136"/>
      <c r="I98" s="136"/>
      <c r="J98" s="136"/>
      <c r="K98" s="136">
        <v>7.2886300000000001E-2</v>
      </c>
      <c r="L98" s="136">
        <v>3.5636500000000002E-2</v>
      </c>
      <c r="M98" s="136">
        <v>3.34191E-2</v>
      </c>
      <c r="N98" s="136">
        <v>3.11414E-2</v>
      </c>
      <c r="O98" s="188" t="str">
        <f t="shared" si="3"/>
        <v/>
      </c>
    </row>
    <row r="99" spans="1:17" x14ac:dyDescent="0.2">
      <c r="A99" s="135" t="s">
        <v>324</v>
      </c>
      <c r="B99" s="145" t="s">
        <v>159</v>
      </c>
      <c r="C99" s="145" t="s">
        <v>158</v>
      </c>
      <c r="D99" s="145">
        <v>4</v>
      </c>
      <c r="E99" s="136">
        <v>3.5752699999999998E-2</v>
      </c>
      <c r="F99" s="136">
        <v>3.7865500000000003E-2</v>
      </c>
      <c r="G99" s="136">
        <v>4.1279900000000001E-2</v>
      </c>
      <c r="H99" s="136"/>
      <c r="I99" s="136"/>
      <c r="J99" s="136"/>
      <c r="K99" s="136">
        <v>0.11166669999999999</v>
      </c>
      <c r="L99" s="136">
        <v>4.7079599999999999E-2</v>
      </c>
      <c r="M99" s="136">
        <v>4.3185899999999999E-2</v>
      </c>
      <c r="N99" s="136">
        <v>3.9645600000000003E-2</v>
      </c>
      <c r="O99" s="188" t="str">
        <f t="shared" si="3"/>
        <v/>
      </c>
    </row>
    <row r="100" spans="1:17" x14ac:dyDescent="0.2">
      <c r="A100" s="135" t="s">
        <v>363</v>
      </c>
      <c r="B100" s="145" t="s">
        <v>159</v>
      </c>
      <c r="C100" s="145" t="s">
        <v>158</v>
      </c>
      <c r="D100" s="145">
        <v>4</v>
      </c>
      <c r="E100" s="136">
        <v>2.3299500000000001E-2</v>
      </c>
      <c r="F100" s="136">
        <v>2.4638699999999999E-2</v>
      </c>
      <c r="G100" s="136">
        <v>2.6859899999999999E-2</v>
      </c>
      <c r="H100" s="136"/>
      <c r="I100" s="136"/>
      <c r="J100" s="136"/>
      <c r="K100" s="136">
        <v>0.2084599</v>
      </c>
      <c r="L100" s="136">
        <v>4.3694400000000001E-2</v>
      </c>
      <c r="M100" s="136">
        <v>3.6006200000000002E-2</v>
      </c>
      <c r="N100" s="136">
        <v>2.76035E-2</v>
      </c>
      <c r="O100" s="188" t="str">
        <f t="shared" si="3"/>
        <v/>
      </c>
    </row>
    <row r="101" spans="1:17" x14ac:dyDescent="0.2">
      <c r="A101" s="135" t="s">
        <v>325</v>
      </c>
      <c r="B101" s="145" t="s">
        <v>159</v>
      </c>
      <c r="C101" s="145" t="s">
        <v>158</v>
      </c>
      <c r="D101" s="145">
        <v>4</v>
      </c>
      <c r="E101" s="136">
        <v>4.6432099999999997E-2</v>
      </c>
      <c r="F101" s="136">
        <v>4.8998199999999999E-2</v>
      </c>
      <c r="G101" s="136">
        <v>5.30464E-2</v>
      </c>
      <c r="H101" s="136"/>
      <c r="I101" s="136"/>
      <c r="J101" s="136"/>
      <c r="K101" s="136">
        <v>0.25978669999999998</v>
      </c>
      <c r="L101" s="136">
        <v>9.8084599999999994E-2</v>
      </c>
      <c r="M101" s="136">
        <v>8.4792500000000007E-2</v>
      </c>
      <c r="N101" s="136">
        <v>6.9361300000000001E-2</v>
      </c>
      <c r="O101" s="188" t="str">
        <f t="shared" si="3"/>
        <v/>
      </c>
    </row>
    <row r="102" spans="1:17" x14ac:dyDescent="0.2">
      <c r="A102" s="135" t="s">
        <v>326</v>
      </c>
      <c r="B102" s="145" t="s">
        <v>159</v>
      </c>
      <c r="C102" s="145" t="s">
        <v>158</v>
      </c>
      <c r="D102" s="145">
        <v>4</v>
      </c>
      <c r="E102" s="136">
        <v>5.8605900000000002E-2</v>
      </c>
      <c r="F102" s="136">
        <v>6.1867999999999999E-2</v>
      </c>
      <c r="G102" s="136">
        <v>6.6929900000000001E-2</v>
      </c>
      <c r="H102" s="136"/>
      <c r="I102" s="136"/>
      <c r="J102" s="136"/>
      <c r="K102" s="136">
        <v>0.3126834</v>
      </c>
      <c r="L102" s="136">
        <v>0.12546589999999999</v>
      </c>
      <c r="M102" s="136">
        <v>0.10673050000000001</v>
      </c>
      <c r="N102" s="136">
        <v>8.6602299999999993E-2</v>
      </c>
      <c r="O102" s="188" t="str">
        <f t="shared" si="3"/>
        <v/>
      </c>
    </row>
    <row r="103" spans="1:17" x14ac:dyDescent="0.2">
      <c r="A103" s="135" t="s">
        <v>327</v>
      </c>
      <c r="B103" s="145" t="s">
        <v>159</v>
      </c>
      <c r="C103" s="145" t="s">
        <v>158</v>
      </c>
      <c r="D103" s="145">
        <v>4</v>
      </c>
      <c r="E103" s="136">
        <v>7.1755799999999995E-2</v>
      </c>
      <c r="F103" s="136">
        <v>7.5807299999999994E-2</v>
      </c>
      <c r="G103" s="136">
        <v>8.2007399999999994E-2</v>
      </c>
      <c r="H103" s="136"/>
      <c r="I103" s="136"/>
      <c r="J103" s="136"/>
      <c r="K103" s="136">
        <v>0.41490899999999997</v>
      </c>
      <c r="L103" s="136">
        <v>0.1555569</v>
      </c>
      <c r="M103" s="136">
        <v>0.13012019999999999</v>
      </c>
      <c r="N103" s="136">
        <v>0.1022019</v>
      </c>
      <c r="O103" s="188" t="str">
        <f t="shared" si="3"/>
        <v/>
      </c>
    </row>
    <row r="104" spans="1:17" x14ac:dyDescent="0.2">
      <c r="A104" s="135" t="s">
        <v>328</v>
      </c>
      <c r="B104" s="145" t="s">
        <v>159</v>
      </c>
      <c r="C104" s="145" t="s">
        <v>158</v>
      </c>
      <c r="D104" s="145">
        <v>4</v>
      </c>
      <c r="E104" s="136">
        <v>2.3299500000000001E-2</v>
      </c>
      <c r="F104" s="136">
        <v>2.4638699999999999E-2</v>
      </c>
      <c r="G104" s="136">
        <v>2.6859899999999999E-2</v>
      </c>
      <c r="H104" s="136"/>
      <c r="I104" s="136"/>
      <c r="J104" s="136"/>
      <c r="K104" s="136">
        <v>0.2084599</v>
      </c>
      <c r="L104" s="136">
        <v>4.3694400000000001E-2</v>
      </c>
      <c r="M104" s="136">
        <v>3.6006200000000002E-2</v>
      </c>
      <c r="N104" s="136">
        <v>2.76035E-2</v>
      </c>
      <c r="O104" s="188" t="str">
        <f t="shared" si="3"/>
        <v/>
      </c>
    </row>
    <row r="105" spans="1:17" x14ac:dyDescent="0.2">
      <c r="A105" s="135" t="s">
        <v>329</v>
      </c>
      <c r="B105" s="145" t="s">
        <v>159</v>
      </c>
      <c r="C105" s="145" t="s">
        <v>158</v>
      </c>
      <c r="D105" s="145">
        <v>4</v>
      </c>
      <c r="E105" s="136">
        <v>3.5622500000000001E-2</v>
      </c>
      <c r="F105" s="136">
        <v>3.7585500000000001E-2</v>
      </c>
      <c r="G105" s="136">
        <v>4.07444E-2</v>
      </c>
      <c r="H105" s="136"/>
      <c r="I105" s="136"/>
      <c r="J105" s="136"/>
      <c r="K105" s="136">
        <v>0.2295075</v>
      </c>
      <c r="L105" s="136">
        <v>7.3744400000000002E-2</v>
      </c>
      <c r="M105" s="136">
        <v>6.4836500000000005E-2</v>
      </c>
      <c r="N105" s="136">
        <v>5.0382700000000002E-2</v>
      </c>
      <c r="O105" s="188" t="str">
        <f t="shared" ref="O105:O136" si="4">IF(AND(B105=B$5,C105=C$5,D105=D$5,AND(E105&lt;=E$5,E105&gt;=E$6),AND(F105&lt;=F$5,F105&gt;=F$6),AND(G105&lt;=G$5,G105&gt;=G$6),AND(H105&lt;=H$5,H105&gt;=H$6),AND(I105&lt;=I$5,I105&gt;=I$6),AND(J105&lt;=J$5,J105&gt;=J$6),AND(K105&lt;=K$5,K105&gt;=K$6),AND(L105&lt;=L$5,L105&gt;=L$6),AND(M105&lt;=M$5,M105&gt;=M$6),AND(N105&lt;=N$5,N105&gt;=N$6)),"ü","")</f>
        <v/>
      </c>
    </row>
    <row r="106" spans="1:17" x14ac:dyDescent="0.2">
      <c r="A106" s="135" t="s">
        <v>364</v>
      </c>
      <c r="B106" s="145" t="s">
        <v>159</v>
      </c>
      <c r="C106" s="145" t="s">
        <v>158</v>
      </c>
      <c r="D106" s="145">
        <v>6</v>
      </c>
      <c r="E106" s="136">
        <v>2.62755E-2</v>
      </c>
      <c r="F106" s="136">
        <v>2.8431000000000001E-2</v>
      </c>
      <c r="G106" s="136">
        <v>3.2021099999999997E-2</v>
      </c>
      <c r="H106" s="136"/>
      <c r="I106" s="136"/>
      <c r="J106" s="136"/>
      <c r="K106" s="136">
        <v>6.4357800000000007E-2</v>
      </c>
      <c r="L106" s="136">
        <v>3.4021200000000001E-2</v>
      </c>
      <c r="M106" s="136">
        <v>3.1954200000000002E-2</v>
      </c>
      <c r="N106" s="136">
        <v>2.9546099999999999E-2</v>
      </c>
      <c r="O106" s="188" t="str">
        <f t="shared" si="4"/>
        <v/>
      </c>
    </row>
    <row r="107" spans="1:17" x14ac:dyDescent="0.2">
      <c r="A107" s="135" t="s">
        <v>330</v>
      </c>
      <c r="B107" s="145" t="s">
        <v>159</v>
      </c>
      <c r="C107" s="145" t="s">
        <v>158</v>
      </c>
      <c r="D107" s="145">
        <v>6</v>
      </c>
      <c r="E107" s="136">
        <v>5.3956499999999998E-2</v>
      </c>
      <c r="F107" s="136">
        <v>5.8051800000000001E-2</v>
      </c>
      <c r="G107" s="136">
        <v>6.4535400000000007E-2</v>
      </c>
      <c r="H107" s="136"/>
      <c r="I107" s="136"/>
      <c r="J107" s="136"/>
      <c r="K107" s="136">
        <v>0.1877132</v>
      </c>
      <c r="L107" s="136">
        <v>8.1512699999999993E-2</v>
      </c>
      <c r="M107" s="136">
        <v>7.0962800000000006E-2</v>
      </c>
      <c r="N107" s="136">
        <v>6.2299399999999998E-2</v>
      </c>
      <c r="O107" s="188" t="str">
        <f t="shared" si="4"/>
        <v/>
      </c>
      <c r="Q107" s="232"/>
    </row>
    <row r="108" spans="1:17" x14ac:dyDescent="0.2">
      <c r="A108" s="135" t="s">
        <v>331</v>
      </c>
      <c r="B108" s="145" t="s">
        <v>159</v>
      </c>
      <c r="C108" s="145" t="s">
        <v>158</v>
      </c>
      <c r="D108" s="145">
        <v>6</v>
      </c>
      <c r="E108" s="136">
        <v>6.8848500000000007E-2</v>
      </c>
      <c r="F108" s="136">
        <v>7.4039999999999995E-2</v>
      </c>
      <c r="G108" s="136">
        <v>8.2122600000000004E-2</v>
      </c>
      <c r="H108" s="136"/>
      <c r="I108" s="136"/>
      <c r="J108" s="136"/>
      <c r="K108" s="136">
        <v>0.27288869999999998</v>
      </c>
      <c r="L108" s="136">
        <v>0.1107171</v>
      </c>
      <c r="M108" s="136">
        <v>9.3543899999999999E-2</v>
      </c>
      <c r="N108" s="136">
        <v>8.0337500000000006E-2</v>
      </c>
      <c r="O108" s="188" t="str">
        <f t="shared" si="4"/>
        <v/>
      </c>
    </row>
    <row r="109" spans="1:17" x14ac:dyDescent="0.2">
      <c r="A109" s="135" t="s">
        <v>332</v>
      </c>
      <c r="B109" s="145" t="s">
        <v>159</v>
      </c>
      <c r="C109" s="145" t="s">
        <v>158</v>
      </c>
      <c r="D109" s="145">
        <v>6</v>
      </c>
      <c r="E109" s="136">
        <v>8.5313600000000003E-2</v>
      </c>
      <c r="F109" s="136">
        <v>9.1746099999999997E-2</v>
      </c>
      <c r="G109" s="136">
        <v>0.10162119999999999</v>
      </c>
      <c r="H109" s="136"/>
      <c r="I109" s="136"/>
      <c r="J109" s="136"/>
      <c r="K109" s="136">
        <v>0.38054100000000002</v>
      </c>
      <c r="L109" s="136">
        <v>0.1455765</v>
      </c>
      <c r="M109" s="136">
        <v>0.1195962</v>
      </c>
      <c r="N109" s="136">
        <v>0.1005284</v>
      </c>
      <c r="O109" s="188" t="str">
        <f t="shared" si="4"/>
        <v/>
      </c>
    </row>
    <row r="110" spans="1:17" x14ac:dyDescent="0.2">
      <c r="A110" s="135" t="s">
        <v>333</v>
      </c>
      <c r="B110" s="145" t="s">
        <v>159</v>
      </c>
      <c r="C110" s="145" t="s">
        <v>158</v>
      </c>
      <c r="D110" s="145">
        <v>6</v>
      </c>
      <c r="E110" s="136">
        <v>2.62755E-2</v>
      </c>
      <c r="F110" s="136">
        <v>2.8431000000000001E-2</v>
      </c>
      <c r="G110" s="136">
        <v>3.2021099999999997E-2</v>
      </c>
      <c r="H110" s="136"/>
      <c r="I110" s="136"/>
      <c r="J110" s="136"/>
      <c r="K110" s="136">
        <v>6.4357800000000007E-2</v>
      </c>
      <c r="L110" s="136">
        <v>3.4021200000000001E-2</v>
      </c>
      <c r="M110" s="136">
        <v>3.1954200000000002E-2</v>
      </c>
      <c r="N110" s="136">
        <v>2.9546099999999999E-2</v>
      </c>
      <c r="O110" s="188" t="str">
        <f t="shared" si="4"/>
        <v/>
      </c>
    </row>
    <row r="111" spans="1:17" x14ac:dyDescent="0.2">
      <c r="A111" s="135" t="s">
        <v>334</v>
      </c>
      <c r="B111" s="145" t="s">
        <v>159</v>
      </c>
      <c r="C111" s="145" t="s">
        <v>158</v>
      </c>
      <c r="D111" s="145">
        <v>6</v>
      </c>
      <c r="E111" s="136">
        <v>4.0825800000000002E-2</v>
      </c>
      <c r="F111" s="136">
        <v>4.3969300000000003E-2</v>
      </c>
      <c r="G111" s="136">
        <v>4.9046899999999997E-2</v>
      </c>
      <c r="H111" s="136"/>
      <c r="I111" s="136"/>
      <c r="J111" s="136"/>
      <c r="K111" s="136">
        <v>0.1225068</v>
      </c>
      <c r="L111" s="136">
        <v>5.7662999999999999E-2</v>
      </c>
      <c r="M111" s="136">
        <v>5.18548E-2</v>
      </c>
      <c r="N111" s="136">
        <v>4.6580900000000001E-2</v>
      </c>
      <c r="O111" s="188" t="str">
        <f t="shared" si="4"/>
        <v/>
      </c>
    </row>
    <row r="112" spans="1:17" x14ac:dyDescent="0.2">
      <c r="A112" s="135" t="s">
        <v>365</v>
      </c>
      <c r="B112" s="145" t="s">
        <v>159</v>
      </c>
      <c r="C112" s="145" t="s">
        <v>158</v>
      </c>
      <c r="D112" s="145">
        <v>6</v>
      </c>
      <c r="E112" s="136">
        <v>3.4949300000000003E-2</v>
      </c>
      <c r="F112" s="136">
        <v>3.6957999999999998E-2</v>
      </c>
      <c r="G112" s="136">
        <v>4.0289800000000001E-2</v>
      </c>
      <c r="H112" s="136"/>
      <c r="I112" s="136"/>
      <c r="J112" s="136"/>
      <c r="K112" s="136">
        <v>0.31268990000000002</v>
      </c>
      <c r="L112" s="136">
        <v>6.5541699999999994E-2</v>
      </c>
      <c r="M112" s="136">
        <v>5.4009300000000003E-2</v>
      </c>
      <c r="N112" s="136">
        <v>4.1405299999999999E-2</v>
      </c>
      <c r="O112" s="188" t="str">
        <f t="shared" si="4"/>
        <v/>
      </c>
    </row>
    <row r="113" spans="1:15" x14ac:dyDescent="0.2">
      <c r="A113" s="135" t="s">
        <v>335</v>
      </c>
      <c r="B113" s="145" t="s">
        <v>159</v>
      </c>
      <c r="C113" s="145" t="s">
        <v>158</v>
      </c>
      <c r="D113" s="145">
        <v>6</v>
      </c>
      <c r="E113" s="136">
        <v>6.9648199999999993E-2</v>
      </c>
      <c r="F113" s="136">
        <v>7.3497300000000002E-2</v>
      </c>
      <c r="G113" s="136">
        <v>7.9569600000000004E-2</v>
      </c>
      <c r="H113" s="136"/>
      <c r="I113" s="136"/>
      <c r="J113" s="136"/>
      <c r="K113" s="136">
        <v>0.38968009999999997</v>
      </c>
      <c r="L113" s="136">
        <v>0.1471269</v>
      </c>
      <c r="M113" s="136">
        <v>0.12718879999999999</v>
      </c>
      <c r="N113" s="136">
        <v>0.10404190000000001</v>
      </c>
      <c r="O113" s="188" t="str">
        <f t="shared" si="4"/>
        <v/>
      </c>
    </row>
    <row r="114" spans="1:15" x14ac:dyDescent="0.2">
      <c r="A114" s="135" t="s">
        <v>336</v>
      </c>
      <c r="B114" s="145" t="s">
        <v>159</v>
      </c>
      <c r="C114" s="145" t="s">
        <v>158</v>
      </c>
      <c r="D114" s="145">
        <v>6</v>
      </c>
      <c r="E114" s="136">
        <v>8.7908899999999998E-2</v>
      </c>
      <c r="F114" s="136">
        <v>9.2801999999999996E-2</v>
      </c>
      <c r="G114" s="136">
        <v>0.10039480000000001</v>
      </c>
      <c r="H114" s="136"/>
      <c r="I114" s="136"/>
      <c r="J114" s="136"/>
      <c r="K114" s="136">
        <v>0.46902509999999997</v>
      </c>
      <c r="L114" s="136">
        <v>0.1881988</v>
      </c>
      <c r="M114" s="136">
        <v>0.16009570000000001</v>
      </c>
      <c r="N114" s="136">
        <v>0.12990350000000001</v>
      </c>
      <c r="O114" s="188" t="str">
        <f t="shared" si="4"/>
        <v/>
      </c>
    </row>
    <row r="115" spans="1:15" x14ac:dyDescent="0.2">
      <c r="A115" s="135" t="s">
        <v>337</v>
      </c>
      <c r="B115" s="145" t="s">
        <v>159</v>
      </c>
      <c r="C115" s="145" t="s">
        <v>158</v>
      </c>
      <c r="D115" s="145">
        <v>6</v>
      </c>
      <c r="E115" s="136">
        <v>0.1076337</v>
      </c>
      <c r="F115" s="136">
        <v>0.1137109</v>
      </c>
      <c r="G115" s="136">
        <v>0.1230111</v>
      </c>
      <c r="H115" s="136"/>
      <c r="I115" s="136"/>
      <c r="J115" s="136"/>
      <c r="K115" s="136">
        <v>0.62236349999999996</v>
      </c>
      <c r="L115" s="136">
        <v>0.2333353</v>
      </c>
      <c r="M115" s="136">
        <v>0.1951804</v>
      </c>
      <c r="N115" s="136">
        <v>0.15330289999999999</v>
      </c>
      <c r="O115" s="188" t="str">
        <f t="shared" si="4"/>
        <v/>
      </c>
    </row>
    <row r="116" spans="1:15" x14ac:dyDescent="0.2">
      <c r="A116" s="135" t="s">
        <v>338</v>
      </c>
      <c r="B116" s="145" t="s">
        <v>159</v>
      </c>
      <c r="C116" s="145" t="s">
        <v>158</v>
      </c>
      <c r="D116" s="145">
        <v>6</v>
      </c>
      <c r="E116" s="136">
        <v>3.4949300000000003E-2</v>
      </c>
      <c r="F116" s="136">
        <v>3.6957999999999998E-2</v>
      </c>
      <c r="G116" s="136">
        <v>4.0289800000000001E-2</v>
      </c>
      <c r="H116" s="136"/>
      <c r="I116" s="136"/>
      <c r="J116" s="136"/>
      <c r="K116" s="136">
        <v>0.31268990000000002</v>
      </c>
      <c r="L116" s="136">
        <v>6.5541699999999994E-2</v>
      </c>
      <c r="M116" s="136">
        <v>5.4009300000000003E-2</v>
      </c>
      <c r="N116" s="136">
        <v>4.1405299999999999E-2</v>
      </c>
      <c r="O116" s="188" t="str">
        <f t="shared" si="4"/>
        <v/>
      </c>
    </row>
    <row r="117" spans="1:15" x14ac:dyDescent="0.2">
      <c r="A117" s="135" t="s">
        <v>339</v>
      </c>
      <c r="B117" s="145" t="s">
        <v>159</v>
      </c>
      <c r="C117" s="145" t="s">
        <v>158</v>
      </c>
      <c r="D117" s="145">
        <v>6</v>
      </c>
      <c r="E117" s="136">
        <v>5.3433700000000001E-2</v>
      </c>
      <c r="F117" s="136">
        <v>5.6378200000000003E-2</v>
      </c>
      <c r="G117" s="136">
        <v>6.1116499999999997E-2</v>
      </c>
      <c r="H117" s="136"/>
      <c r="I117" s="136"/>
      <c r="J117" s="136"/>
      <c r="K117" s="136">
        <v>0.34426119999999999</v>
      </c>
      <c r="L117" s="136">
        <v>0.1106167</v>
      </c>
      <c r="M117" s="136">
        <v>9.7254800000000002E-2</v>
      </c>
      <c r="N117" s="136">
        <v>7.5574100000000005E-2</v>
      </c>
      <c r="O117" s="188" t="str">
        <f t="shared" si="4"/>
        <v/>
      </c>
    </row>
    <row r="118" spans="1:15" x14ac:dyDescent="0.2">
      <c r="A118" s="135" t="s">
        <v>366</v>
      </c>
      <c r="B118" s="145" t="s">
        <v>159</v>
      </c>
      <c r="C118" s="145" t="s">
        <v>158</v>
      </c>
      <c r="D118" s="145">
        <v>8</v>
      </c>
      <c r="E118" s="136">
        <v>4.6599099999999997E-2</v>
      </c>
      <c r="F118" s="136">
        <v>4.9277300000000003E-2</v>
      </c>
      <c r="G118" s="136">
        <v>5.3719700000000002E-2</v>
      </c>
      <c r="H118" s="136"/>
      <c r="I118" s="136"/>
      <c r="J118" s="136"/>
      <c r="K118" s="136">
        <v>0.41691980000000001</v>
      </c>
      <c r="L118" s="136">
        <v>8.7388900000000005E-2</v>
      </c>
      <c r="M118" s="136">
        <v>7.2012400000000004E-2</v>
      </c>
      <c r="N118" s="136">
        <v>5.5207100000000002E-2</v>
      </c>
      <c r="O118" s="188" t="str">
        <f t="shared" si="4"/>
        <v/>
      </c>
    </row>
    <row r="119" spans="1:15" x14ac:dyDescent="0.2">
      <c r="A119" s="135" t="s">
        <v>340</v>
      </c>
      <c r="B119" s="145" t="s">
        <v>159</v>
      </c>
      <c r="C119" s="145" t="s">
        <v>158</v>
      </c>
      <c r="D119" s="145">
        <v>8</v>
      </c>
      <c r="E119" s="136">
        <v>9.2864299999999997E-2</v>
      </c>
      <c r="F119" s="136">
        <v>9.7996299999999995E-2</v>
      </c>
      <c r="G119" s="136">
        <v>0.1060928</v>
      </c>
      <c r="H119" s="136"/>
      <c r="I119" s="136"/>
      <c r="J119" s="136"/>
      <c r="K119" s="136">
        <v>0.51957339999999996</v>
      </c>
      <c r="L119" s="136">
        <v>0.19616919999999999</v>
      </c>
      <c r="M119" s="136">
        <v>0.16958500000000001</v>
      </c>
      <c r="N119" s="136">
        <v>0.1387225</v>
      </c>
      <c r="O119" s="188" t="str">
        <f t="shared" si="4"/>
        <v/>
      </c>
    </row>
    <row r="120" spans="1:15" x14ac:dyDescent="0.2">
      <c r="A120" s="135" t="s">
        <v>341</v>
      </c>
      <c r="B120" s="145" t="s">
        <v>159</v>
      </c>
      <c r="C120" s="145" t="s">
        <v>158</v>
      </c>
      <c r="D120" s="145">
        <v>8</v>
      </c>
      <c r="E120" s="136">
        <v>0.1172118</v>
      </c>
      <c r="F120" s="136">
        <v>0.123736</v>
      </c>
      <c r="G120" s="136">
        <v>0.1338597</v>
      </c>
      <c r="H120" s="136"/>
      <c r="I120" s="136"/>
      <c r="J120" s="136"/>
      <c r="K120" s="136">
        <v>0.62536670000000005</v>
      </c>
      <c r="L120" s="136">
        <v>0.25093169999999998</v>
      </c>
      <c r="M120" s="136">
        <v>0.21346100000000001</v>
      </c>
      <c r="N120" s="136">
        <v>0.17320459999999999</v>
      </c>
      <c r="O120" s="188" t="str">
        <f t="shared" si="4"/>
        <v/>
      </c>
    </row>
    <row r="121" spans="1:15" x14ac:dyDescent="0.2">
      <c r="A121" s="135" t="s">
        <v>342</v>
      </c>
      <c r="B121" s="145" t="s">
        <v>159</v>
      </c>
      <c r="C121" s="145" t="s">
        <v>158</v>
      </c>
      <c r="D121" s="145">
        <v>8</v>
      </c>
      <c r="E121" s="136">
        <v>0.14351169999999999</v>
      </c>
      <c r="F121" s="136">
        <v>0.15161450000000001</v>
      </c>
      <c r="G121" s="136">
        <v>0.16401479999999999</v>
      </c>
      <c r="H121" s="136"/>
      <c r="I121" s="136"/>
      <c r="J121" s="136"/>
      <c r="K121" s="136">
        <v>0.82981799999999994</v>
      </c>
      <c r="L121" s="136">
        <v>0.3111138</v>
      </c>
      <c r="M121" s="136">
        <v>0.26024049999999999</v>
      </c>
      <c r="N121" s="136">
        <v>0.2044038</v>
      </c>
      <c r="O121" s="188" t="str">
        <f t="shared" si="4"/>
        <v/>
      </c>
    </row>
    <row r="122" spans="1:15" x14ac:dyDescent="0.2">
      <c r="A122" s="135" t="s">
        <v>343</v>
      </c>
      <c r="B122" s="145" t="s">
        <v>159</v>
      </c>
      <c r="C122" s="145" t="s">
        <v>158</v>
      </c>
      <c r="D122" s="145">
        <v>8</v>
      </c>
      <c r="E122" s="136">
        <v>4.6599099999999997E-2</v>
      </c>
      <c r="F122" s="136">
        <v>4.9277300000000003E-2</v>
      </c>
      <c r="G122" s="136">
        <v>5.3719700000000002E-2</v>
      </c>
      <c r="H122" s="136"/>
      <c r="I122" s="136"/>
      <c r="J122" s="136"/>
      <c r="K122" s="136">
        <v>0.41691980000000001</v>
      </c>
      <c r="L122" s="136">
        <v>8.7388900000000005E-2</v>
      </c>
      <c r="M122" s="136">
        <v>7.2012400000000004E-2</v>
      </c>
      <c r="N122" s="136">
        <v>5.5207100000000002E-2</v>
      </c>
      <c r="O122" s="188" t="str">
        <f t="shared" si="4"/>
        <v/>
      </c>
    </row>
    <row r="123" spans="1:15" x14ac:dyDescent="0.2">
      <c r="A123" s="135" t="s">
        <v>344</v>
      </c>
      <c r="B123" s="145" t="s">
        <v>159</v>
      </c>
      <c r="C123" s="145" t="s">
        <v>158</v>
      </c>
      <c r="D123" s="145">
        <v>8</v>
      </c>
      <c r="E123" s="136">
        <v>7.1245000000000003E-2</v>
      </c>
      <c r="F123" s="136">
        <v>7.5171000000000002E-2</v>
      </c>
      <c r="G123" s="136">
        <v>8.1488699999999997E-2</v>
      </c>
      <c r="H123" s="136"/>
      <c r="I123" s="136"/>
      <c r="J123" s="136"/>
      <c r="K123" s="136">
        <v>0.4590149</v>
      </c>
      <c r="L123" s="136">
        <v>0.14748890000000001</v>
      </c>
      <c r="M123" s="136">
        <v>0.12967310000000001</v>
      </c>
      <c r="N123" s="136">
        <v>0.1007654</v>
      </c>
      <c r="O123" s="188" t="str">
        <f t="shared" si="4"/>
        <v/>
      </c>
    </row>
    <row r="124" spans="1:15" x14ac:dyDescent="0.2">
      <c r="A124" s="135" t="s">
        <v>367</v>
      </c>
      <c r="B124" s="145" t="s">
        <v>159</v>
      </c>
      <c r="C124" s="145" t="s">
        <v>158</v>
      </c>
      <c r="D124" s="145">
        <v>8</v>
      </c>
      <c r="E124" s="136">
        <v>1.0371099999999999E-2</v>
      </c>
      <c r="F124" s="136">
        <v>1.0826300000000001E-2</v>
      </c>
      <c r="G124" s="136"/>
      <c r="H124" s="136"/>
      <c r="I124" s="136"/>
      <c r="J124" s="136"/>
      <c r="K124" s="136">
        <v>5.9181900000000003E-2</v>
      </c>
      <c r="L124" s="136">
        <v>1.3231700000000001E-2</v>
      </c>
      <c r="M124" s="136">
        <v>9.6789000000000007E-3</v>
      </c>
      <c r="N124" s="136">
        <v>9.0483999999999998E-3</v>
      </c>
      <c r="O124" s="188" t="str">
        <f t="shared" si="4"/>
        <v/>
      </c>
    </row>
    <row r="125" spans="1:15" x14ac:dyDescent="0.2">
      <c r="A125" s="135" t="s">
        <v>345</v>
      </c>
      <c r="B125" s="145" t="s">
        <v>159</v>
      </c>
      <c r="C125" s="145" t="s">
        <v>158</v>
      </c>
      <c r="D125" s="145">
        <v>8</v>
      </c>
      <c r="E125" s="136">
        <v>1.0371099999999999E-2</v>
      </c>
      <c r="F125" s="136">
        <v>1.0826300000000001E-2</v>
      </c>
      <c r="G125" s="136"/>
      <c r="H125" s="136"/>
      <c r="I125" s="136"/>
      <c r="J125" s="136"/>
      <c r="K125" s="136">
        <v>5.9181900000000003E-2</v>
      </c>
      <c r="L125" s="136">
        <v>1.3231700000000001E-2</v>
      </c>
      <c r="M125" s="136">
        <v>9.6789000000000007E-3</v>
      </c>
      <c r="N125" s="136">
        <v>9.0483999999999998E-3</v>
      </c>
      <c r="O125" s="188" t="str">
        <f t="shared" si="4"/>
        <v/>
      </c>
    </row>
    <row r="126" spans="1:15" x14ac:dyDescent="0.2">
      <c r="A126" s="135" t="s">
        <v>346</v>
      </c>
      <c r="B126" s="145" t="s">
        <v>159</v>
      </c>
      <c r="C126" s="145" t="s">
        <v>158</v>
      </c>
      <c r="D126" s="145">
        <v>8</v>
      </c>
      <c r="E126" s="136">
        <v>2.3174E-2</v>
      </c>
      <c r="F126" s="136">
        <v>2.3970399999999999E-2</v>
      </c>
      <c r="G126" s="136"/>
      <c r="H126" s="136"/>
      <c r="I126" s="136"/>
      <c r="J126" s="136"/>
      <c r="K126" s="136">
        <v>0.20315430000000001</v>
      </c>
      <c r="L126" s="136">
        <v>4.03624E-2</v>
      </c>
      <c r="M126" s="136">
        <v>3.1149E-2</v>
      </c>
      <c r="N126" s="136">
        <v>2.27393E-2</v>
      </c>
      <c r="O126" s="188" t="str">
        <f t="shared" si="4"/>
        <v/>
      </c>
    </row>
    <row r="127" spans="1:15" x14ac:dyDescent="0.2">
      <c r="A127" s="135" t="s">
        <v>288</v>
      </c>
      <c r="B127" s="145" t="s">
        <v>154</v>
      </c>
      <c r="C127" s="145" t="s">
        <v>158</v>
      </c>
      <c r="D127" s="145">
        <v>6</v>
      </c>
      <c r="E127" s="136">
        <v>5.5469900000000003E-2</v>
      </c>
      <c r="F127" s="136"/>
      <c r="G127" s="136"/>
      <c r="H127" s="136"/>
      <c r="I127" s="136"/>
      <c r="J127" s="136"/>
      <c r="K127" s="136">
        <v>0.32208340000000002</v>
      </c>
      <c r="L127" s="136">
        <v>0.1125259</v>
      </c>
      <c r="M127" s="136">
        <v>9.4122899999999995E-2</v>
      </c>
      <c r="N127" s="136">
        <v>7.6899899999999993E-2</v>
      </c>
      <c r="O127" s="188" t="str">
        <f t="shared" si="4"/>
        <v/>
      </c>
    </row>
    <row r="128" spans="1:15" x14ac:dyDescent="0.2">
      <c r="A128" s="135" t="s">
        <v>237</v>
      </c>
      <c r="B128" s="145" t="s">
        <v>154</v>
      </c>
      <c r="C128" s="145" t="s">
        <v>94</v>
      </c>
      <c r="D128" s="145">
        <v>8</v>
      </c>
      <c r="E128" s="136">
        <v>0.1170727</v>
      </c>
      <c r="F128" s="136">
        <v>0.12813430000000001</v>
      </c>
      <c r="G128" s="136">
        <v>0.1465515</v>
      </c>
      <c r="H128" s="136"/>
      <c r="I128" s="136"/>
      <c r="J128" s="136"/>
      <c r="K128" s="136">
        <v>0.69955020000000001</v>
      </c>
      <c r="L128" s="136">
        <v>0.2232452</v>
      </c>
      <c r="M128" s="136">
        <v>0.18480360000000001</v>
      </c>
      <c r="N128" s="136">
        <v>0.14934140000000001</v>
      </c>
      <c r="O128" s="188" t="str">
        <f t="shared" si="4"/>
        <v/>
      </c>
    </row>
    <row r="129" spans="1:15" x14ac:dyDescent="0.2">
      <c r="A129" s="135" t="s">
        <v>232</v>
      </c>
      <c r="B129" s="145" t="s">
        <v>154</v>
      </c>
      <c r="C129" s="145" t="s">
        <v>94</v>
      </c>
      <c r="D129" s="145">
        <v>48</v>
      </c>
      <c r="E129" s="136">
        <v>0.71195920000000001</v>
      </c>
      <c r="F129" s="136">
        <v>0.7643797</v>
      </c>
      <c r="G129" s="136">
        <v>0.84898859999999998</v>
      </c>
      <c r="H129" s="136">
        <v>0.95225119999999996</v>
      </c>
      <c r="I129" s="136">
        <v>1.0761746000000001</v>
      </c>
      <c r="J129" s="136">
        <v>1.4895681000000001</v>
      </c>
      <c r="K129" s="136">
        <v>5.5667279000000001</v>
      </c>
      <c r="L129" s="136">
        <v>2.0032003999999999</v>
      </c>
      <c r="M129" s="136">
        <v>1.5379368</v>
      </c>
      <c r="N129" s="136">
        <v>1.1261527</v>
      </c>
      <c r="O129" s="188" t="str">
        <f t="shared" si="4"/>
        <v/>
      </c>
    </row>
    <row r="130" spans="1:15" x14ac:dyDescent="0.2">
      <c r="A130" s="135" t="s">
        <v>233</v>
      </c>
      <c r="B130" s="145" t="s">
        <v>154</v>
      </c>
      <c r="C130" s="145" t="s">
        <v>94</v>
      </c>
      <c r="D130" s="145">
        <v>52</v>
      </c>
      <c r="E130" s="136">
        <v>0.76691469999999995</v>
      </c>
      <c r="F130" s="136">
        <v>0.82336480000000001</v>
      </c>
      <c r="G130" s="136">
        <v>0.91451349999999998</v>
      </c>
      <c r="H130" s="136">
        <v>1.0257997000000001</v>
      </c>
      <c r="I130" s="136">
        <v>1.1593945999999999</v>
      </c>
      <c r="J130" s="136">
        <v>1.6052550000000001</v>
      </c>
      <c r="K130" s="136">
        <v>5.9648197999999999</v>
      </c>
      <c r="L130" s="136">
        <v>2.1489881</v>
      </c>
      <c r="M130" s="136">
        <v>1.6514807</v>
      </c>
      <c r="N130" s="136">
        <v>1.2175427999999999</v>
      </c>
      <c r="O130" s="188" t="str">
        <f t="shared" si="4"/>
        <v/>
      </c>
    </row>
    <row r="131" spans="1:15" x14ac:dyDescent="0.2">
      <c r="A131" s="135" t="s">
        <v>234</v>
      </c>
      <c r="B131" s="145" t="s">
        <v>154</v>
      </c>
      <c r="C131" s="145" t="s">
        <v>94</v>
      </c>
      <c r="D131" s="145">
        <v>56</v>
      </c>
      <c r="E131" s="136">
        <v>0.8218702</v>
      </c>
      <c r="F131" s="136">
        <v>0.88234990000000002</v>
      </c>
      <c r="G131" s="136">
        <v>0.98003830000000003</v>
      </c>
      <c r="H131" s="136">
        <v>1.0993481000000001</v>
      </c>
      <c r="I131" s="136">
        <v>1.2426145</v>
      </c>
      <c r="J131" s="136">
        <v>1.7209418999999999</v>
      </c>
      <c r="K131" s="136">
        <v>6.3629118</v>
      </c>
      <c r="L131" s="136">
        <v>2.2947758</v>
      </c>
      <c r="M131" s="136">
        <v>1.7650246000000001</v>
      </c>
      <c r="N131" s="136">
        <v>1.3089329999999999</v>
      </c>
      <c r="O131" s="188" t="str">
        <f t="shared" si="4"/>
        <v/>
      </c>
    </row>
    <row r="132" spans="1:15" x14ac:dyDescent="0.2">
      <c r="A132" s="135" t="s">
        <v>235</v>
      </c>
      <c r="B132" s="145" t="s">
        <v>154</v>
      </c>
      <c r="C132" s="145" t="s">
        <v>94</v>
      </c>
      <c r="D132" s="145">
        <v>60</v>
      </c>
      <c r="E132" s="136">
        <v>0.87682570000000004</v>
      </c>
      <c r="F132" s="136">
        <v>0.94133500000000003</v>
      </c>
      <c r="G132" s="136">
        <v>1.0455631999999999</v>
      </c>
      <c r="H132" s="136">
        <v>1.1728966000000001</v>
      </c>
      <c r="I132" s="136">
        <v>1.3258344</v>
      </c>
      <c r="J132" s="136">
        <v>1.8366288</v>
      </c>
      <c r="K132" s="136">
        <v>6.7610036999999998</v>
      </c>
      <c r="L132" s="136">
        <v>2.4405633999999998</v>
      </c>
      <c r="M132" s="136">
        <v>1.8785684</v>
      </c>
      <c r="N132" s="136">
        <v>1.4003231</v>
      </c>
      <c r="O132" s="188" t="str">
        <f t="shared" si="4"/>
        <v/>
      </c>
    </row>
    <row r="133" spans="1:15" x14ac:dyDescent="0.2">
      <c r="A133" s="135" t="s">
        <v>236</v>
      </c>
      <c r="B133" s="145" t="s">
        <v>154</v>
      </c>
      <c r="C133" s="145" t="s">
        <v>94</v>
      </c>
      <c r="D133" s="145">
        <v>64</v>
      </c>
      <c r="E133" s="136">
        <v>0.93178110000000003</v>
      </c>
      <c r="F133" s="136">
        <v>1.0003200999999999</v>
      </c>
      <c r="G133" s="136">
        <v>1.1110880999999999</v>
      </c>
      <c r="H133" s="136">
        <v>1.2464451000000001</v>
      </c>
      <c r="I133" s="136">
        <v>1.4090543</v>
      </c>
      <c r="J133" s="136">
        <v>1.9523155999999999</v>
      </c>
      <c r="K133" s="136">
        <v>7.1590955999999997</v>
      </c>
      <c r="L133" s="136">
        <v>2.5863510999999999</v>
      </c>
      <c r="M133" s="136">
        <v>1.9921123000000001</v>
      </c>
      <c r="N133" s="136">
        <v>1.4917133</v>
      </c>
      <c r="O133" s="188" t="str">
        <f t="shared" si="4"/>
        <v/>
      </c>
    </row>
    <row r="134" spans="1:15" x14ac:dyDescent="0.2">
      <c r="A134" s="135" t="s">
        <v>358</v>
      </c>
      <c r="B134" s="145" t="s">
        <v>154</v>
      </c>
      <c r="C134" s="145" t="s">
        <v>94</v>
      </c>
      <c r="D134" s="145">
        <v>48</v>
      </c>
      <c r="E134" s="136">
        <v>0.63855209999999996</v>
      </c>
      <c r="F134" s="136">
        <v>0.68978320000000004</v>
      </c>
      <c r="G134" s="136">
        <v>0.77267220000000003</v>
      </c>
      <c r="H134" s="136">
        <v>0.87406189999999995</v>
      </c>
      <c r="I134" s="136">
        <v>0.9959597</v>
      </c>
      <c r="J134" s="136">
        <v>1.4036215999999999</v>
      </c>
      <c r="K134" s="136">
        <v>5.1193181000000001</v>
      </c>
      <c r="L134" s="136">
        <v>1.7828686</v>
      </c>
      <c r="M134" s="136">
        <v>1.3461069000000001</v>
      </c>
      <c r="N134" s="136">
        <v>1.0821466</v>
      </c>
      <c r="O134" s="188" t="str">
        <f t="shared" si="4"/>
        <v/>
      </c>
    </row>
    <row r="135" spans="1:15" x14ac:dyDescent="0.2">
      <c r="A135" s="135" t="s">
        <v>357</v>
      </c>
      <c r="B135" s="145" t="s">
        <v>154</v>
      </c>
      <c r="C135" s="145" t="s">
        <v>94</v>
      </c>
      <c r="D135" s="145">
        <v>52</v>
      </c>
      <c r="E135" s="136">
        <v>0.69998539999999998</v>
      </c>
      <c r="F135" s="136">
        <v>0.75698169999999998</v>
      </c>
      <c r="G135" s="136">
        <v>0.84925510000000004</v>
      </c>
      <c r="H135" s="136">
        <v>0.96218700000000001</v>
      </c>
      <c r="I135" s="136">
        <v>1.0980224000000001</v>
      </c>
      <c r="J135" s="136">
        <v>1.5525715</v>
      </c>
      <c r="K135" s="136">
        <v>5.6510745</v>
      </c>
      <c r="L135" s="136">
        <v>1.9667612000000001</v>
      </c>
      <c r="M135" s="136">
        <v>1.4804482000000001</v>
      </c>
      <c r="N135" s="136">
        <v>1.1882231999999999</v>
      </c>
      <c r="O135" s="188" t="str">
        <f t="shared" si="4"/>
        <v/>
      </c>
    </row>
    <row r="136" spans="1:15" x14ac:dyDescent="0.2">
      <c r="A136" s="135" t="s">
        <v>271</v>
      </c>
      <c r="B136" s="145" t="s">
        <v>154</v>
      </c>
      <c r="C136" s="145" t="s">
        <v>155</v>
      </c>
      <c r="D136" s="145">
        <v>28</v>
      </c>
      <c r="E136" s="136">
        <v>0.34594629999999998</v>
      </c>
      <c r="F136" s="136">
        <v>0.3674637</v>
      </c>
      <c r="G136" s="136">
        <v>0.40197090000000002</v>
      </c>
      <c r="H136" s="136">
        <v>0.4438395</v>
      </c>
      <c r="I136" s="136">
        <v>0.49384889999999998</v>
      </c>
      <c r="J136" s="136">
        <v>0.65961510000000001</v>
      </c>
      <c r="K136" s="136">
        <v>2.1782211</v>
      </c>
      <c r="L136" s="136">
        <v>0.7802076</v>
      </c>
      <c r="M136" s="136">
        <v>0.58938729999999995</v>
      </c>
      <c r="N136" s="136">
        <v>0.52901540000000002</v>
      </c>
      <c r="O136" s="188" t="str">
        <f t="shared" si="4"/>
        <v/>
      </c>
    </row>
    <row r="137" spans="1:15" x14ac:dyDescent="0.2">
      <c r="A137" s="135" t="s">
        <v>347</v>
      </c>
      <c r="B137" s="145" t="s">
        <v>154</v>
      </c>
      <c r="C137" s="145" t="s">
        <v>94</v>
      </c>
      <c r="D137" s="145">
        <v>28</v>
      </c>
      <c r="E137" s="136">
        <v>0.34594629999999998</v>
      </c>
      <c r="F137" s="136">
        <v>0.3674637</v>
      </c>
      <c r="G137" s="136">
        <v>0.40197090000000002</v>
      </c>
      <c r="H137" s="136">
        <v>0.4438395</v>
      </c>
      <c r="I137" s="136">
        <v>0.49384889999999998</v>
      </c>
      <c r="J137" s="136">
        <v>0.65961510000000001</v>
      </c>
      <c r="K137" s="136">
        <v>1.9086759</v>
      </c>
      <c r="L137" s="136">
        <v>0.72497020000000001</v>
      </c>
      <c r="M137" s="136">
        <v>0.61078650000000001</v>
      </c>
      <c r="N137" s="136">
        <v>0.50609499999999996</v>
      </c>
      <c r="O137" s="188" t="str">
        <f t="shared" ref="O137:O148" si="5">IF(AND(B137=B$5,C137=C$5,D137=D$5,AND(E137&lt;=E$5,E137&gt;=E$6),AND(F137&lt;=F$5,F137&gt;=F$6),AND(G137&lt;=G$5,G137&gt;=G$6),AND(H137&lt;=H$5,H137&gt;=H$6),AND(I137&lt;=I$5,I137&gt;=I$6),AND(J137&lt;=J$5,J137&gt;=J$6),AND(K137&lt;=K$5,K137&gt;=K$6),AND(L137&lt;=L$5,L137&gt;=L$6),AND(M137&lt;=M$5,M137&gt;=M$6),AND(N137&lt;=N$5,N137&gt;=N$6)),"ü","")</f>
        <v/>
      </c>
    </row>
    <row r="138" spans="1:15" x14ac:dyDescent="0.2">
      <c r="A138" s="135" t="s">
        <v>348</v>
      </c>
      <c r="B138" s="145" t="s">
        <v>154</v>
      </c>
      <c r="C138" s="145" t="s">
        <v>94</v>
      </c>
      <c r="D138" s="145">
        <v>28</v>
      </c>
      <c r="E138" s="136">
        <v>0.34594629999999998</v>
      </c>
      <c r="F138" s="136">
        <v>0.3674637</v>
      </c>
      <c r="G138" s="136">
        <v>0.40197090000000002</v>
      </c>
      <c r="H138" s="136">
        <v>0.4438395</v>
      </c>
      <c r="I138" s="136">
        <v>0.49384889999999998</v>
      </c>
      <c r="J138" s="136">
        <v>0.65961510000000001</v>
      </c>
      <c r="K138" s="136">
        <v>1.9086759</v>
      </c>
      <c r="L138" s="136">
        <v>0.72497020000000001</v>
      </c>
      <c r="M138" s="136">
        <v>0.61078650000000001</v>
      </c>
      <c r="N138" s="136">
        <v>0.50609499999999996</v>
      </c>
      <c r="O138" s="188" t="str">
        <f t="shared" si="5"/>
        <v/>
      </c>
    </row>
    <row r="139" spans="1:15" x14ac:dyDescent="0.2">
      <c r="A139" s="135" t="s">
        <v>368</v>
      </c>
      <c r="B139" s="145" t="s">
        <v>154</v>
      </c>
      <c r="C139" s="145" t="s">
        <v>94</v>
      </c>
      <c r="D139" s="145">
        <v>24</v>
      </c>
      <c r="E139" s="136">
        <v>0.39420539999999998</v>
      </c>
      <c r="F139" s="136">
        <v>0.4236491</v>
      </c>
      <c r="G139" s="136">
        <v>0.47088269999999999</v>
      </c>
      <c r="H139" s="136">
        <v>0.52818399999999999</v>
      </c>
      <c r="I139" s="136">
        <v>0.59659459999999997</v>
      </c>
      <c r="J139" s="136">
        <v>0.82306769999999996</v>
      </c>
      <c r="K139" s="136">
        <v>2.2133115999999999</v>
      </c>
      <c r="L139" s="136">
        <v>0.72684850000000001</v>
      </c>
      <c r="M139" s="136">
        <v>0.55158600000000002</v>
      </c>
      <c r="N139" s="136">
        <v>0.50895979999999996</v>
      </c>
      <c r="O139" s="188" t="str">
        <f t="shared" si="5"/>
        <v/>
      </c>
    </row>
    <row r="140" spans="1:15" x14ac:dyDescent="0.2">
      <c r="A140" s="135" t="s">
        <v>270</v>
      </c>
      <c r="B140" s="145" t="s">
        <v>154</v>
      </c>
      <c r="C140" s="145" t="s">
        <v>155</v>
      </c>
      <c r="D140" s="145">
        <v>28</v>
      </c>
      <c r="E140" s="136">
        <v>0.40756579999999998</v>
      </c>
      <c r="F140" s="136">
        <v>0.43526290000000001</v>
      </c>
      <c r="G140" s="136">
        <v>0.47975099999999998</v>
      </c>
      <c r="H140" s="136">
        <v>0.53379710000000002</v>
      </c>
      <c r="I140" s="136">
        <v>0.59840660000000001</v>
      </c>
      <c r="J140" s="136">
        <v>0.81275280000000005</v>
      </c>
      <c r="K140" s="136">
        <v>3.749746</v>
      </c>
      <c r="L140" s="136">
        <v>1.2296874</v>
      </c>
      <c r="M140" s="136">
        <v>0.89827179999999995</v>
      </c>
      <c r="N140" s="136">
        <v>0.76804600000000001</v>
      </c>
      <c r="O140" s="188" t="str">
        <f t="shared" si="5"/>
        <v/>
      </c>
    </row>
    <row r="141" spans="1:15" x14ac:dyDescent="0.2">
      <c r="A141" s="135" t="s">
        <v>349</v>
      </c>
      <c r="B141" s="145" t="s">
        <v>154</v>
      </c>
      <c r="C141" s="145" t="s">
        <v>94</v>
      </c>
      <c r="D141" s="145">
        <v>28</v>
      </c>
      <c r="E141" s="136">
        <v>0.40756579999999998</v>
      </c>
      <c r="F141" s="136">
        <v>0.43526290000000001</v>
      </c>
      <c r="G141" s="136">
        <v>0.47975099999999998</v>
      </c>
      <c r="H141" s="136">
        <v>0.53379710000000002</v>
      </c>
      <c r="I141" s="136">
        <v>0.59840660000000001</v>
      </c>
      <c r="J141" s="136">
        <v>0.81275280000000005</v>
      </c>
      <c r="K141" s="136">
        <v>3.2947803000000002</v>
      </c>
      <c r="L141" s="136">
        <v>1.1097809999999999</v>
      </c>
      <c r="M141" s="136">
        <v>0.82199</v>
      </c>
      <c r="N141" s="136">
        <v>0.62882130000000003</v>
      </c>
      <c r="O141" s="188" t="str">
        <f t="shared" si="5"/>
        <v/>
      </c>
    </row>
    <row r="142" spans="1:15" x14ac:dyDescent="0.2">
      <c r="A142" s="135" t="s">
        <v>350</v>
      </c>
      <c r="B142" s="145" t="s">
        <v>154</v>
      </c>
      <c r="C142" s="145" t="s">
        <v>94</v>
      </c>
      <c r="D142" s="145">
        <v>28</v>
      </c>
      <c r="E142" s="136">
        <v>0.40756579999999998</v>
      </c>
      <c r="F142" s="136">
        <v>0.43526290000000001</v>
      </c>
      <c r="G142" s="136">
        <v>0.47975099999999998</v>
      </c>
      <c r="H142" s="136">
        <v>0.53379710000000002</v>
      </c>
      <c r="I142" s="136">
        <v>0.59840660000000001</v>
      </c>
      <c r="J142" s="136">
        <v>0.81275280000000005</v>
      </c>
      <c r="K142" s="136">
        <v>3.2947803000000002</v>
      </c>
      <c r="L142" s="136">
        <v>1.1097809999999999</v>
      </c>
      <c r="M142" s="136">
        <v>0.82199</v>
      </c>
      <c r="N142" s="136">
        <v>0.62882130000000003</v>
      </c>
      <c r="O142" s="188" t="str">
        <f t="shared" si="5"/>
        <v/>
      </c>
    </row>
    <row r="143" spans="1:15" x14ac:dyDescent="0.2">
      <c r="A143" s="135" t="s">
        <v>272</v>
      </c>
      <c r="B143" s="145" t="s">
        <v>154</v>
      </c>
      <c r="C143" s="145" t="s">
        <v>94</v>
      </c>
      <c r="D143" s="145">
        <v>16</v>
      </c>
      <c r="E143" s="136">
        <v>0.22440479999999999</v>
      </c>
      <c r="F143" s="136">
        <v>0.2410274</v>
      </c>
      <c r="G143" s="136">
        <v>0.26797890000000002</v>
      </c>
      <c r="H143" s="136">
        <v>0.30101640000000002</v>
      </c>
      <c r="I143" s="136">
        <v>0.34081139999999999</v>
      </c>
      <c r="J143" s="136"/>
      <c r="K143" s="136">
        <v>1.5593157</v>
      </c>
      <c r="L143" s="136">
        <v>0.5481703</v>
      </c>
      <c r="M143" s="136">
        <v>0.42993310000000001</v>
      </c>
      <c r="N143" s="136">
        <v>0.35629690000000003</v>
      </c>
      <c r="O143" s="188" t="str">
        <f t="shared" si="5"/>
        <v/>
      </c>
    </row>
    <row r="144" spans="1:15" x14ac:dyDescent="0.2">
      <c r="A144" s="135" t="s">
        <v>353</v>
      </c>
      <c r="B144" s="145" t="s">
        <v>154</v>
      </c>
      <c r="C144" s="145" t="s">
        <v>94</v>
      </c>
      <c r="D144" s="145">
        <v>16</v>
      </c>
      <c r="E144" s="136">
        <v>0.23361019999999999</v>
      </c>
      <c r="F144" s="136">
        <v>0.25038139999999998</v>
      </c>
      <c r="G144" s="136">
        <v>0.27757009999999999</v>
      </c>
      <c r="H144" s="136">
        <v>0.3108938</v>
      </c>
      <c r="I144" s="136">
        <v>0.35102800000000001</v>
      </c>
      <c r="J144" s="136"/>
      <c r="K144" s="136">
        <v>1.2563419</v>
      </c>
      <c r="L144" s="136">
        <v>0.43782929999999998</v>
      </c>
      <c r="M144" s="136">
        <v>0.34287269999999997</v>
      </c>
      <c r="N144" s="136">
        <v>0.30018869999999997</v>
      </c>
      <c r="O144" s="188" t="str">
        <f t="shared" si="5"/>
        <v/>
      </c>
    </row>
    <row r="145" spans="1:15" x14ac:dyDescent="0.2">
      <c r="A145" s="135" t="s">
        <v>273</v>
      </c>
      <c r="B145" s="145" t="s">
        <v>154</v>
      </c>
      <c r="C145" s="145" t="s">
        <v>94</v>
      </c>
      <c r="D145" s="145">
        <v>24</v>
      </c>
      <c r="E145" s="136">
        <v>0.31057940000000001</v>
      </c>
      <c r="F145" s="136">
        <v>0.33357979999999998</v>
      </c>
      <c r="G145" s="136">
        <v>0.37098710000000001</v>
      </c>
      <c r="H145" s="136">
        <v>0.4169794</v>
      </c>
      <c r="I145" s="136">
        <v>0.47252100000000002</v>
      </c>
      <c r="J145" s="136"/>
      <c r="K145" s="136">
        <v>2.1159009000000002</v>
      </c>
      <c r="L145" s="136">
        <v>0.75315960000000004</v>
      </c>
      <c r="M145" s="136">
        <v>0.60011380000000003</v>
      </c>
      <c r="N145" s="136">
        <v>0.50074759999999996</v>
      </c>
      <c r="O145" s="188" t="str">
        <f t="shared" si="5"/>
        <v/>
      </c>
    </row>
    <row r="146" spans="1:15" x14ac:dyDescent="0.2">
      <c r="A146" s="135" t="s">
        <v>354</v>
      </c>
      <c r="B146" s="145" t="s">
        <v>154</v>
      </c>
      <c r="C146" s="145" t="s">
        <v>94</v>
      </c>
      <c r="D146" s="145">
        <v>24</v>
      </c>
      <c r="E146" s="136">
        <v>0.31882359999999998</v>
      </c>
      <c r="F146" s="136">
        <v>0.341721</v>
      </c>
      <c r="G146" s="136">
        <v>0.37896869999999999</v>
      </c>
      <c r="H146" s="136">
        <v>0.42477520000000002</v>
      </c>
      <c r="I146" s="136">
        <v>0.48010370000000002</v>
      </c>
      <c r="J146" s="136"/>
      <c r="K146" s="136">
        <v>1.7801922999999999</v>
      </c>
      <c r="L146" s="136">
        <v>0.60707299999999997</v>
      </c>
      <c r="M146" s="136">
        <v>0.4747922</v>
      </c>
      <c r="N146" s="136">
        <v>0.41449279999999999</v>
      </c>
      <c r="O146" s="188" t="str">
        <f t="shared" si="5"/>
        <v/>
      </c>
    </row>
    <row r="147" spans="1:15" x14ac:dyDescent="0.2">
      <c r="A147" s="135" t="s">
        <v>274</v>
      </c>
      <c r="B147" s="145" t="s">
        <v>154</v>
      </c>
      <c r="C147" s="145" t="s">
        <v>94</v>
      </c>
      <c r="D147" s="145">
        <v>16</v>
      </c>
      <c r="E147" s="136">
        <v>0.24029619999999999</v>
      </c>
      <c r="F147" s="136">
        <v>0.2604668</v>
      </c>
      <c r="G147" s="136">
        <v>0.29331879999999999</v>
      </c>
      <c r="H147" s="136">
        <v>0.33375110000000002</v>
      </c>
      <c r="I147" s="136"/>
      <c r="J147" s="136"/>
      <c r="K147" s="136">
        <v>1.7884278</v>
      </c>
      <c r="L147" s="136">
        <v>0.62222460000000002</v>
      </c>
      <c r="M147" s="136">
        <v>0.48343659999999999</v>
      </c>
      <c r="N147" s="136">
        <v>0.40258480000000002</v>
      </c>
      <c r="O147" s="188" t="str">
        <f t="shared" si="5"/>
        <v/>
      </c>
    </row>
    <row r="148" spans="1:15" x14ac:dyDescent="0.2">
      <c r="A148" s="135" t="s">
        <v>369</v>
      </c>
      <c r="B148" s="145" t="s">
        <v>154</v>
      </c>
      <c r="C148" s="145" t="s">
        <v>94</v>
      </c>
      <c r="D148" s="145">
        <v>16</v>
      </c>
      <c r="E148" s="136">
        <v>0.2388748</v>
      </c>
      <c r="F148" s="136">
        <v>0.2588954</v>
      </c>
      <c r="G148" s="136">
        <v>0.29152309999999998</v>
      </c>
      <c r="H148" s="136">
        <v>0.33170280000000002</v>
      </c>
      <c r="I148" s="136"/>
      <c r="J148" s="136"/>
      <c r="K148" s="136">
        <v>1.5449493000000001</v>
      </c>
      <c r="L148" s="136">
        <v>0.55409010000000003</v>
      </c>
      <c r="M148" s="136">
        <v>0.4333901</v>
      </c>
      <c r="N148" s="136">
        <v>0.3680525</v>
      </c>
      <c r="O148" s="188" t="str">
        <f t="shared" si="5"/>
        <v/>
      </c>
    </row>
    <row r="149" spans="1:15" x14ac:dyDescent="0.2">
      <c r="A149" s="135" t="s">
        <v>275</v>
      </c>
      <c r="B149" s="145" t="s">
        <v>154</v>
      </c>
      <c r="C149" s="145" t="s">
        <v>94</v>
      </c>
      <c r="D149" s="145">
        <v>16</v>
      </c>
      <c r="E149" s="136">
        <v>0.22440479999999999</v>
      </c>
      <c r="F149" s="136">
        <v>0.2410274</v>
      </c>
      <c r="G149" s="136">
        <v>0.26797890000000002</v>
      </c>
      <c r="H149" s="136">
        <v>0.30101640000000002</v>
      </c>
      <c r="I149" s="136">
        <v>0.34081139999999999</v>
      </c>
      <c r="J149" s="136"/>
      <c r="K149" s="136">
        <v>1.5593157</v>
      </c>
      <c r="L149" s="136">
        <v>0.5481703</v>
      </c>
      <c r="M149" s="136">
        <v>0.42993310000000001</v>
      </c>
      <c r="N149" s="136">
        <v>0.35629690000000003</v>
      </c>
      <c r="O149" s="188" t="str">
        <f t="shared" ref="O149:O202" si="6">IF(AND(B149=B$5,C149=C$5,D149=D$5,AND(E149&lt;=E$5,E149&gt;=E$6),AND(F149&lt;=F$5,F149&gt;=F$6),AND(G149&lt;=G$5,G149&gt;=G$6),AND(H149&lt;=H$5,H149&gt;=H$6),AND(I149&lt;=I$5,I149&gt;=I$6),AND(J149&lt;=J$5,J149&gt;=J$6),AND(K149&lt;=K$5,K149&gt;=K$6),AND(L149&lt;=L$5,L149&gt;=L$6),AND(M149&lt;=M$5,M149&gt;=M$6),AND(N149&lt;=N$5,N149&gt;=N$6)),"ü","")</f>
        <v/>
      </c>
    </row>
    <row r="150" spans="1:15" x14ac:dyDescent="0.2">
      <c r="A150" s="135" t="s">
        <v>373</v>
      </c>
      <c r="B150" s="145" t="s">
        <v>154</v>
      </c>
      <c r="C150" s="145" t="s">
        <v>94</v>
      </c>
      <c r="D150" s="145">
        <v>16</v>
      </c>
      <c r="E150" s="136">
        <v>0.23361019999999999</v>
      </c>
      <c r="F150" s="136">
        <v>0.25038139999999998</v>
      </c>
      <c r="G150" s="136">
        <v>0.27757009999999999</v>
      </c>
      <c r="H150" s="136">
        <v>0.3108938</v>
      </c>
      <c r="I150" s="136">
        <v>0.35102800000000001</v>
      </c>
      <c r="J150" s="136"/>
      <c r="K150" s="136">
        <v>1.2563419</v>
      </c>
      <c r="L150" s="136">
        <v>0.43782929999999998</v>
      </c>
      <c r="M150" s="136">
        <v>0.34287269999999997</v>
      </c>
      <c r="N150" s="136">
        <v>0.30018869999999997</v>
      </c>
      <c r="O150" s="188" t="str">
        <f t="shared" si="6"/>
        <v/>
      </c>
    </row>
    <row r="151" spans="1:15" x14ac:dyDescent="0.2">
      <c r="A151" s="135" t="s">
        <v>374</v>
      </c>
      <c r="B151" s="145" t="s">
        <v>154</v>
      </c>
      <c r="C151" s="145" t="s">
        <v>94</v>
      </c>
      <c r="D151" s="145">
        <v>24</v>
      </c>
      <c r="E151" s="136">
        <v>0.32369229999999999</v>
      </c>
      <c r="F151" s="136">
        <v>0.34779789999999999</v>
      </c>
      <c r="G151" s="136">
        <v>0.3871385</v>
      </c>
      <c r="H151" s="136">
        <v>0.43566640000000001</v>
      </c>
      <c r="I151" s="136">
        <v>0.49442960000000002</v>
      </c>
      <c r="J151" s="136"/>
      <c r="K151" s="136">
        <v>1.8136413</v>
      </c>
      <c r="L151" s="136">
        <v>0.61933389999999999</v>
      </c>
      <c r="M151" s="136">
        <v>0.48561199999999999</v>
      </c>
      <c r="N151" s="136">
        <v>0.42636420000000003</v>
      </c>
      <c r="O151" s="188" t="str">
        <f t="shared" si="6"/>
        <v/>
      </c>
    </row>
    <row r="152" spans="1:15" x14ac:dyDescent="0.2">
      <c r="A152" s="135" t="s">
        <v>276</v>
      </c>
      <c r="B152" s="145" t="s">
        <v>154</v>
      </c>
      <c r="C152" s="145" t="s">
        <v>94</v>
      </c>
      <c r="D152" s="145">
        <v>8</v>
      </c>
      <c r="E152" s="136">
        <v>8.2289299999999996E-2</v>
      </c>
      <c r="F152" s="136">
        <v>8.6220199999999997E-2</v>
      </c>
      <c r="G152" s="136">
        <v>9.2479900000000004E-2</v>
      </c>
      <c r="H152" s="136"/>
      <c r="I152" s="136"/>
      <c r="J152" s="136"/>
      <c r="K152" s="136">
        <v>0.48060570000000002</v>
      </c>
      <c r="L152" s="136">
        <v>0.1638087</v>
      </c>
      <c r="M152" s="136">
        <v>0.13733119999999999</v>
      </c>
      <c r="N152" s="136">
        <v>0.1034771</v>
      </c>
      <c r="O152" s="188" t="str">
        <f t="shared" si="6"/>
        <v/>
      </c>
    </row>
    <row r="153" spans="1:15" x14ac:dyDescent="0.2">
      <c r="A153" s="135" t="s">
        <v>277</v>
      </c>
      <c r="B153" s="145" t="s">
        <v>154</v>
      </c>
      <c r="C153" s="145" t="s">
        <v>94</v>
      </c>
      <c r="D153" s="145">
        <v>10</v>
      </c>
      <c r="E153" s="136">
        <v>0.13055610000000001</v>
      </c>
      <c r="F153" s="136">
        <v>0.1383142</v>
      </c>
      <c r="G153" s="136">
        <v>0.1507868</v>
      </c>
      <c r="H153" s="136">
        <v>0.16595650000000001</v>
      </c>
      <c r="I153" s="136">
        <v>0.18411279999999999</v>
      </c>
      <c r="J153" s="136"/>
      <c r="K153" s="136">
        <v>0.82332810000000001</v>
      </c>
      <c r="L153" s="136">
        <v>0.30545480000000003</v>
      </c>
      <c r="M153" s="136">
        <v>0.23941219999999999</v>
      </c>
      <c r="N153" s="136">
        <v>0.17776429999999999</v>
      </c>
      <c r="O153" s="188" t="str">
        <f t="shared" si="6"/>
        <v/>
      </c>
    </row>
    <row r="154" spans="1:15" x14ac:dyDescent="0.2">
      <c r="A154" s="135" t="s">
        <v>375</v>
      </c>
      <c r="B154" s="145" t="s">
        <v>154</v>
      </c>
      <c r="C154" s="145" t="s">
        <v>94</v>
      </c>
      <c r="D154" s="145">
        <v>10</v>
      </c>
      <c r="E154" s="136">
        <v>0.1352177</v>
      </c>
      <c r="F154" s="136">
        <v>0.14322389999999999</v>
      </c>
      <c r="G154" s="136">
        <v>0.15606449999999999</v>
      </c>
      <c r="H154" s="136">
        <v>0.17164479999999999</v>
      </c>
      <c r="I154" s="136">
        <v>0.1902546</v>
      </c>
      <c r="J154" s="136"/>
      <c r="K154" s="136">
        <v>0.69858290000000001</v>
      </c>
      <c r="L154" s="136">
        <v>0.24413070000000001</v>
      </c>
      <c r="M154" s="136">
        <v>0.19722149999999999</v>
      </c>
      <c r="N154" s="136">
        <v>0.16173950000000001</v>
      </c>
      <c r="O154" s="188" t="str">
        <f t="shared" si="6"/>
        <v/>
      </c>
    </row>
    <row r="155" spans="1:15" x14ac:dyDescent="0.2">
      <c r="A155" s="135" t="s">
        <v>278</v>
      </c>
      <c r="B155" s="145" t="s">
        <v>154</v>
      </c>
      <c r="C155" s="145" t="s">
        <v>94</v>
      </c>
      <c r="D155" s="145">
        <v>10</v>
      </c>
      <c r="E155" s="136">
        <v>0.1438681</v>
      </c>
      <c r="F155" s="136">
        <v>0.15316730000000001</v>
      </c>
      <c r="G155" s="136">
        <v>0.16808619999999999</v>
      </c>
      <c r="H155" s="136">
        <v>0.18619040000000001</v>
      </c>
      <c r="I155" s="136">
        <v>0.20781379999999999</v>
      </c>
      <c r="J155" s="136"/>
      <c r="K155" s="136">
        <v>0.89883679999999999</v>
      </c>
      <c r="L155" s="136">
        <v>0.32837880000000003</v>
      </c>
      <c r="M155" s="136">
        <v>0.25829360000000001</v>
      </c>
      <c r="N155" s="136">
        <v>0.21027989999999999</v>
      </c>
      <c r="O155" s="188" t="str">
        <f t="shared" si="6"/>
        <v/>
      </c>
    </row>
    <row r="156" spans="1:15" x14ac:dyDescent="0.2">
      <c r="A156" s="135" t="s">
        <v>370</v>
      </c>
      <c r="B156" s="145" t="s">
        <v>154</v>
      </c>
      <c r="C156" s="145" t="s">
        <v>94</v>
      </c>
      <c r="D156" s="145">
        <v>10</v>
      </c>
      <c r="E156" s="136">
        <v>0.1406753</v>
      </c>
      <c r="F156" s="136">
        <v>0.14929780000000001</v>
      </c>
      <c r="G156" s="136">
        <v>0.16315089999999999</v>
      </c>
      <c r="H156" s="136">
        <v>0.17998610000000001</v>
      </c>
      <c r="I156" s="136">
        <v>0.2001194</v>
      </c>
      <c r="J156" s="136"/>
      <c r="K156" s="136">
        <v>0.75620430000000005</v>
      </c>
      <c r="L156" s="136">
        <v>0.23613219999999999</v>
      </c>
      <c r="M156" s="136">
        <v>0.17883450000000001</v>
      </c>
      <c r="N156" s="136">
        <v>0.1612209</v>
      </c>
      <c r="O156" s="188" t="str">
        <f t="shared" si="6"/>
        <v/>
      </c>
    </row>
    <row r="157" spans="1:15" x14ac:dyDescent="0.2">
      <c r="A157" s="135" t="s">
        <v>371</v>
      </c>
      <c r="B157" s="145" t="s">
        <v>154</v>
      </c>
      <c r="C157" s="145" t="s">
        <v>94</v>
      </c>
      <c r="D157" s="145">
        <v>14</v>
      </c>
      <c r="E157" s="136">
        <v>0.18432879999999999</v>
      </c>
      <c r="F157" s="136">
        <v>0.19564899999999999</v>
      </c>
      <c r="G157" s="136">
        <v>0.21377989999999999</v>
      </c>
      <c r="H157" s="136">
        <v>0.23574999999999999</v>
      </c>
      <c r="I157" s="136">
        <v>0.2619611</v>
      </c>
      <c r="J157" s="136"/>
      <c r="K157" s="136">
        <v>1.0406907999999999</v>
      </c>
      <c r="L157" s="136">
        <v>0.31461349999999999</v>
      </c>
      <c r="M157" s="136">
        <v>0.2360022</v>
      </c>
      <c r="N157" s="136">
        <v>0.21562210000000001</v>
      </c>
      <c r="O157" s="188" t="str">
        <f t="shared" si="6"/>
        <v/>
      </c>
    </row>
    <row r="158" spans="1:15" x14ac:dyDescent="0.2">
      <c r="A158" s="135" t="s">
        <v>279</v>
      </c>
      <c r="B158" s="145" t="s">
        <v>154</v>
      </c>
      <c r="C158" s="145" t="s">
        <v>94</v>
      </c>
      <c r="D158" s="145">
        <v>10</v>
      </c>
      <c r="E158" s="136">
        <v>0.13828070000000001</v>
      </c>
      <c r="F158" s="136">
        <v>0.1466239</v>
      </c>
      <c r="G158" s="136">
        <v>0.15996009999999999</v>
      </c>
      <c r="H158" s="136">
        <v>0.1760892</v>
      </c>
      <c r="I158" s="136">
        <v>0.19530049999999999</v>
      </c>
      <c r="J158" s="136"/>
      <c r="K158" s="136">
        <v>0.924431</v>
      </c>
      <c r="L158" s="136">
        <v>0.33908919999999998</v>
      </c>
      <c r="M158" s="136">
        <v>0.26557029999999998</v>
      </c>
      <c r="N158" s="136">
        <v>0.19045799999999999</v>
      </c>
      <c r="O158" s="188" t="str">
        <f t="shared" si="6"/>
        <v/>
      </c>
    </row>
    <row r="159" spans="1:15" x14ac:dyDescent="0.2">
      <c r="A159" s="135" t="s">
        <v>280</v>
      </c>
      <c r="B159" s="145" t="s">
        <v>154</v>
      </c>
      <c r="C159" s="145" t="s">
        <v>94</v>
      </c>
      <c r="D159" s="145">
        <v>14</v>
      </c>
      <c r="E159" s="136">
        <v>0.17709659999999999</v>
      </c>
      <c r="F159" s="136">
        <v>0.1877027</v>
      </c>
      <c r="G159" s="136">
        <v>0.20467379999999999</v>
      </c>
      <c r="H159" s="136">
        <v>0.2252218</v>
      </c>
      <c r="I159" s="136">
        <v>0.249722</v>
      </c>
      <c r="J159" s="136"/>
      <c r="K159" s="136">
        <v>1.1620416</v>
      </c>
      <c r="L159" s="136">
        <v>0.43141010000000002</v>
      </c>
      <c r="M159" s="136">
        <v>0.34223870000000001</v>
      </c>
      <c r="N159" s="136">
        <v>0.25271909999999997</v>
      </c>
      <c r="O159" s="188" t="str">
        <f t="shared" si="6"/>
        <v/>
      </c>
    </row>
    <row r="160" spans="1:15" x14ac:dyDescent="0.2">
      <c r="A160" s="135" t="s">
        <v>281</v>
      </c>
      <c r="B160" s="145" t="s">
        <v>154</v>
      </c>
      <c r="C160" s="145" t="s">
        <v>94</v>
      </c>
      <c r="D160" s="145">
        <v>10</v>
      </c>
      <c r="E160" s="136">
        <v>9.7378900000000004E-2</v>
      </c>
      <c r="F160" s="136">
        <v>0.1019137</v>
      </c>
      <c r="G160" s="136">
        <v>0.10914459999999999</v>
      </c>
      <c r="H160" s="136">
        <v>0.1178757</v>
      </c>
      <c r="I160" s="136"/>
      <c r="J160" s="136"/>
      <c r="K160" s="136">
        <v>0.55161490000000002</v>
      </c>
      <c r="L160" s="136">
        <v>0.21401700000000001</v>
      </c>
      <c r="M160" s="136">
        <v>0.17870459999999999</v>
      </c>
      <c r="N160" s="136">
        <v>0.14261750000000001</v>
      </c>
      <c r="O160" s="188" t="str">
        <f t="shared" si="6"/>
        <v/>
      </c>
    </row>
    <row r="161" spans="1:15" x14ac:dyDescent="0.2">
      <c r="A161" s="135" t="s">
        <v>282</v>
      </c>
      <c r="B161" s="145" t="s">
        <v>154</v>
      </c>
      <c r="C161" s="145" t="s">
        <v>94</v>
      </c>
      <c r="D161" s="145">
        <v>8</v>
      </c>
      <c r="E161" s="136">
        <v>8.2101300000000002E-2</v>
      </c>
      <c r="F161" s="136">
        <v>8.5942099999999993E-2</v>
      </c>
      <c r="G161" s="136">
        <v>9.20686E-2</v>
      </c>
      <c r="H161" s="136">
        <v>9.9468100000000004E-2</v>
      </c>
      <c r="I161" s="136"/>
      <c r="J161" s="136"/>
      <c r="K161" s="136">
        <v>0.45649600000000001</v>
      </c>
      <c r="L161" s="136">
        <v>0.17791080000000001</v>
      </c>
      <c r="M161" s="136">
        <v>0.14836859999999999</v>
      </c>
      <c r="N161" s="136">
        <v>0.1196255</v>
      </c>
      <c r="O161" s="188" t="str">
        <f t="shared" si="6"/>
        <v/>
      </c>
    </row>
    <row r="162" spans="1:15" x14ac:dyDescent="0.2">
      <c r="A162" s="135" t="s">
        <v>356</v>
      </c>
      <c r="B162" s="145" t="s">
        <v>154</v>
      </c>
      <c r="C162" s="145" t="s">
        <v>94</v>
      </c>
      <c r="D162" s="145">
        <v>10</v>
      </c>
      <c r="E162" s="136">
        <v>0.14167940000000001</v>
      </c>
      <c r="F162" s="136">
        <v>0.1504085</v>
      </c>
      <c r="G162" s="136">
        <v>0.1644185</v>
      </c>
      <c r="H162" s="136">
        <v>0.18142739999999999</v>
      </c>
      <c r="I162" s="136">
        <v>0.20175129999999999</v>
      </c>
      <c r="J162" s="136"/>
      <c r="K162" s="136">
        <v>0.76103350000000003</v>
      </c>
      <c r="L162" s="136">
        <v>0.23964260000000001</v>
      </c>
      <c r="M162" s="136">
        <v>0.1807183</v>
      </c>
      <c r="N162" s="136">
        <v>0.16253989999999999</v>
      </c>
      <c r="O162" s="188" t="str">
        <f t="shared" si="6"/>
        <v/>
      </c>
    </row>
    <row r="163" spans="1:15" x14ac:dyDescent="0.2">
      <c r="A163" s="135" t="s">
        <v>283</v>
      </c>
      <c r="B163" s="145" t="s">
        <v>154</v>
      </c>
      <c r="C163" s="145" t="s">
        <v>94</v>
      </c>
      <c r="D163" s="145">
        <v>6</v>
      </c>
      <c r="E163" s="136">
        <v>6.7275199999999993E-2</v>
      </c>
      <c r="F163" s="136">
        <v>7.0549799999999996E-2</v>
      </c>
      <c r="G163" s="136">
        <v>7.5750300000000007E-2</v>
      </c>
      <c r="H163" s="136">
        <v>8.2003199999999998E-2</v>
      </c>
      <c r="I163" s="136"/>
      <c r="J163" s="136"/>
      <c r="K163" s="136">
        <v>0.3908798</v>
      </c>
      <c r="L163" s="136">
        <v>0.13343650000000001</v>
      </c>
      <c r="M163" s="136">
        <v>0.11118749999999999</v>
      </c>
      <c r="N163" s="136">
        <v>9.1531899999999999E-2</v>
      </c>
      <c r="O163" s="188" t="str">
        <f t="shared" si="6"/>
        <v/>
      </c>
    </row>
    <row r="164" spans="1:15" x14ac:dyDescent="0.2">
      <c r="A164" s="135" t="s">
        <v>284</v>
      </c>
      <c r="B164" s="145" t="s">
        <v>154</v>
      </c>
      <c r="C164" s="145" t="s">
        <v>94</v>
      </c>
      <c r="D164" s="145">
        <v>8</v>
      </c>
      <c r="E164" s="136">
        <v>8.5080600000000006E-2</v>
      </c>
      <c r="F164" s="136">
        <v>8.9176400000000003E-2</v>
      </c>
      <c r="G164" s="136">
        <v>9.5678899999999997E-2</v>
      </c>
      <c r="H164" s="136">
        <v>0.1034957</v>
      </c>
      <c r="I164" s="136"/>
      <c r="J164" s="136"/>
      <c r="K164" s="136">
        <v>0.49401610000000001</v>
      </c>
      <c r="L164" s="136">
        <v>0.17259389999999999</v>
      </c>
      <c r="M164" s="136">
        <v>0.1443671</v>
      </c>
      <c r="N164" s="136">
        <v>0.11795020000000001</v>
      </c>
      <c r="O164" s="188" t="str">
        <f t="shared" si="6"/>
        <v/>
      </c>
    </row>
    <row r="165" spans="1:15" x14ac:dyDescent="0.2">
      <c r="A165" s="135" t="s">
        <v>355</v>
      </c>
      <c r="B165" s="145" t="s">
        <v>154</v>
      </c>
      <c r="C165" s="145" t="s">
        <v>94</v>
      </c>
      <c r="D165" s="145">
        <v>20</v>
      </c>
      <c r="E165" s="136">
        <v>0.26247409999999999</v>
      </c>
      <c r="F165" s="136">
        <v>0.27949479999999999</v>
      </c>
      <c r="G165" s="136">
        <v>0.30686720000000001</v>
      </c>
      <c r="H165" s="136">
        <v>0.34016380000000002</v>
      </c>
      <c r="I165" s="136">
        <v>0.38001649999999998</v>
      </c>
      <c r="J165" s="136"/>
      <c r="K165" s="136">
        <v>1.4926428</v>
      </c>
      <c r="L165" s="136">
        <v>0.4690724</v>
      </c>
      <c r="M165" s="136">
        <v>0.35353410000000002</v>
      </c>
      <c r="N165" s="136">
        <v>0.3172449</v>
      </c>
      <c r="O165" s="188" t="str">
        <f t="shared" si="6"/>
        <v/>
      </c>
    </row>
    <row r="166" spans="1:15" x14ac:dyDescent="0.2">
      <c r="A166" s="135" t="s">
        <v>372</v>
      </c>
      <c r="B166" s="145" t="s">
        <v>154</v>
      </c>
      <c r="C166" s="145" t="s">
        <v>94</v>
      </c>
      <c r="D166" s="145">
        <v>14</v>
      </c>
      <c r="E166" s="136">
        <v>0.18292910000000001</v>
      </c>
      <c r="F166" s="136">
        <v>0.194995</v>
      </c>
      <c r="G166" s="136">
        <v>0.21438019999999999</v>
      </c>
      <c r="H166" s="136">
        <v>0.23793880000000001</v>
      </c>
      <c r="I166" s="136">
        <v>0.26611319999999999</v>
      </c>
      <c r="J166" s="136"/>
      <c r="K166" s="136">
        <v>1.0377182</v>
      </c>
      <c r="L166" s="136">
        <v>0.3390068</v>
      </c>
      <c r="M166" s="136">
        <v>0.25711270000000003</v>
      </c>
      <c r="N166" s="136">
        <v>0.22256570000000001</v>
      </c>
      <c r="O166" s="188" t="str">
        <f t="shared" si="6"/>
        <v/>
      </c>
    </row>
    <row r="167" spans="1:15" x14ac:dyDescent="0.2">
      <c r="A167" s="135" t="s">
        <v>376</v>
      </c>
      <c r="B167" s="145" t="s">
        <v>154</v>
      </c>
      <c r="C167" s="145" t="s">
        <v>94</v>
      </c>
      <c r="D167" s="145">
        <v>14</v>
      </c>
      <c r="E167" s="136">
        <v>0.18292910000000001</v>
      </c>
      <c r="F167" s="136">
        <v>0.194995</v>
      </c>
      <c r="G167" s="136">
        <v>0.21438019999999999</v>
      </c>
      <c r="H167" s="136">
        <v>0.23793880000000001</v>
      </c>
      <c r="I167" s="136">
        <v>0.26611319999999999</v>
      </c>
      <c r="J167" s="136"/>
      <c r="K167" s="136">
        <v>1.0377182</v>
      </c>
      <c r="L167" s="136">
        <v>0.3390068</v>
      </c>
      <c r="M167" s="136">
        <v>0.25711270000000003</v>
      </c>
      <c r="N167" s="136">
        <v>0.22256570000000001</v>
      </c>
      <c r="O167" s="188" t="str">
        <f t="shared" si="6"/>
        <v/>
      </c>
    </row>
    <row r="168" spans="1:15" x14ac:dyDescent="0.2">
      <c r="A168" s="135" t="s">
        <v>285</v>
      </c>
      <c r="B168" s="145" t="s">
        <v>154</v>
      </c>
      <c r="C168" s="145" t="s">
        <v>94</v>
      </c>
      <c r="D168" s="145">
        <v>10</v>
      </c>
      <c r="E168" s="136">
        <v>0.109403</v>
      </c>
      <c r="F168" s="136">
        <v>0.1145859</v>
      </c>
      <c r="G168" s="136">
        <v>0.1227694</v>
      </c>
      <c r="H168" s="136">
        <v>0.13255449999999999</v>
      </c>
      <c r="I168" s="136">
        <v>0.1441018</v>
      </c>
      <c r="J168" s="136"/>
      <c r="K168" s="136">
        <v>0.64982930000000005</v>
      </c>
      <c r="L168" s="136">
        <v>0.24517539999999999</v>
      </c>
      <c r="M168" s="136">
        <v>0.200659</v>
      </c>
      <c r="N168" s="136">
        <v>0.15908949999999999</v>
      </c>
      <c r="O168" s="188" t="str">
        <f t="shared" si="6"/>
        <v/>
      </c>
    </row>
    <row r="169" spans="1:15" x14ac:dyDescent="0.2">
      <c r="A169" s="135" t="s">
        <v>286</v>
      </c>
      <c r="B169" s="145" t="s">
        <v>154</v>
      </c>
      <c r="C169" s="145" t="s">
        <v>94</v>
      </c>
      <c r="D169" s="145">
        <v>26</v>
      </c>
      <c r="E169" s="136">
        <v>0.39131490000000002</v>
      </c>
      <c r="F169" s="136">
        <v>0.42411949999999998</v>
      </c>
      <c r="G169" s="136">
        <v>0.47700120000000001</v>
      </c>
      <c r="H169" s="136">
        <v>0.54145189999999999</v>
      </c>
      <c r="I169" s="136">
        <v>0.61869569999999996</v>
      </c>
      <c r="J169" s="136">
        <v>0.87582199999999999</v>
      </c>
      <c r="K169" s="136">
        <v>3.4457192999999999</v>
      </c>
      <c r="L169" s="136">
        <v>1.2274039000000001</v>
      </c>
      <c r="M169" s="136">
        <v>0.92301180000000005</v>
      </c>
      <c r="N169" s="136">
        <v>0.59796240000000001</v>
      </c>
      <c r="O169" s="188" t="str">
        <f t="shared" si="6"/>
        <v/>
      </c>
    </row>
    <row r="170" spans="1:15" x14ac:dyDescent="0.2">
      <c r="A170" s="135" t="s">
        <v>287</v>
      </c>
      <c r="B170" s="145" t="s">
        <v>154</v>
      </c>
      <c r="C170" s="145" t="s">
        <v>94</v>
      </c>
      <c r="D170" s="145">
        <v>26</v>
      </c>
      <c r="E170" s="136">
        <v>0.39131490000000002</v>
      </c>
      <c r="F170" s="136">
        <v>0.42411949999999998</v>
      </c>
      <c r="G170" s="136">
        <v>0.47700120000000001</v>
      </c>
      <c r="H170" s="136">
        <v>0.54145189999999999</v>
      </c>
      <c r="I170" s="136">
        <v>0.61869569999999996</v>
      </c>
      <c r="J170" s="136">
        <v>0.87582199999999999</v>
      </c>
      <c r="K170" s="136">
        <v>3.4457192999999999</v>
      </c>
      <c r="L170" s="136">
        <v>1.2274039000000001</v>
      </c>
      <c r="M170" s="136">
        <v>0.92301180000000005</v>
      </c>
      <c r="N170" s="136">
        <v>0.59796240000000001</v>
      </c>
      <c r="O170" s="188" t="str">
        <f t="shared" si="6"/>
        <v/>
      </c>
    </row>
    <row r="171" spans="1:15" x14ac:dyDescent="0.2">
      <c r="A171" s="135"/>
      <c r="B171" s="145"/>
      <c r="C171" s="145"/>
      <c r="D171" s="145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88" t="str">
        <f t="shared" si="6"/>
        <v/>
      </c>
    </row>
    <row r="172" spans="1:15" x14ac:dyDescent="0.2">
      <c r="A172" s="135"/>
      <c r="B172" s="145"/>
      <c r="C172" s="145"/>
      <c r="D172" s="145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88" t="str">
        <f t="shared" si="6"/>
        <v/>
      </c>
    </row>
    <row r="173" spans="1:15" x14ac:dyDescent="0.2">
      <c r="A173" s="135"/>
      <c r="B173" s="145"/>
      <c r="C173" s="145"/>
      <c r="D173" s="145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88" t="str">
        <f t="shared" si="6"/>
        <v/>
      </c>
    </row>
    <row r="174" spans="1:15" x14ac:dyDescent="0.2">
      <c r="A174" s="135"/>
      <c r="B174" s="145"/>
      <c r="C174" s="145"/>
      <c r="D174" s="145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88" t="str">
        <f t="shared" si="6"/>
        <v/>
      </c>
    </row>
    <row r="175" spans="1:15" x14ac:dyDescent="0.2">
      <c r="A175" s="135"/>
      <c r="B175" s="145"/>
      <c r="C175" s="145"/>
      <c r="D175" s="145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88" t="str">
        <f t="shared" si="6"/>
        <v/>
      </c>
    </row>
    <row r="176" spans="1:15" x14ac:dyDescent="0.2">
      <c r="A176" s="135"/>
      <c r="B176" s="145"/>
      <c r="C176" s="145"/>
      <c r="D176" s="145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88" t="str">
        <f t="shared" si="6"/>
        <v/>
      </c>
    </row>
    <row r="177" spans="1:15" x14ac:dyDescent="0.2">
      <c r="A177" s="135"/>
      <c r="B177" s="145"/>
      <c r="C177" s="145"/>
      <c r="D177" s="145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88" t="str">
        <f t="shared" si="6"/>
        <v/>
      </c>
    </row>
    <row r="178" spans="1:15" x14ac:dyDescent="0.2">
      <c r="A178" s="135"/>
      <c r="B178" s="145"/>
      <c r="C178" s="145"/>
      <c r="D178" s="145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88" t="str">
        <f t="shared" si="6"/>
        <v/>
      </c>
    </row>
    <row r="179" spans="1:15" x14ac:dyDescent="0.2">
      <c r="A179" s="135"/>
      <c r="B179" s="145"/>
      <c r="C179" s="145"/>
      <c r="D179" s="145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88" t="str">
        <f t="shared" si="6"/>
        <v/>
      </c>
    </row>
    <row r="180" spans="1:15" x14ac:dyDescent="0.2">
      <c r="A180" s="135"/>
      <c r="B180" s="145"/>
      <c r="C180" s="145"/>
      <c r="D180" s="145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88" t="str">
        <f t="shared" si="6"/>
        <v/>
      </c>
    </row>
    <row r="181" spans="1:15" x14ac:dyDescent="0.2">
      <c r="A181" s="135"/>
      <c r="B181" s="145"/>
      <c r="C181" s="145"/>
      <c r="D181" s="145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88" t="str">
        <f t="shared" si="6"/>
        <v/>
      </c>
    </row>
    <row r="182" spans="1:15" x14ac:dyDescent="0.2">
      <c r="A182" s="135"/>
      <c r="B182" s="145"/>
      <c r="C182" s="145"/>
      <c r="D182" s="145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88" t="str">
        <f t="shared" si="6"/>
        <v/>
      </c>
    </row>
    <row r="183" spans="1:15" x14ac:dyDescent="0.2">
      <c r="A183" s="135"/>
      <c r="B183" s="145"/>
      <c r="C183" s="145"/>
      <c r="D183" s="145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88" t="str">
        <f t="shared" si="6"/>
        <v/>
      </c>
    </row>
    <row r="184" spans="1:15" x14ac:dyDescent="0.2">
      <c r="A184" s="135"/>
      <c r="B184" s="145"/>
      <c r="C184" s="145"/>
      <c r="D184" s="145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88" t="str">
        <f t="shared" si="6"/>
        <v/>
      </c>
    </row>
    <row r="185" spans="1:15" x14ac:dyDescent="0.2">
      <c r="A185" s="135"/>
      <c r="B185" s="145"/>
      <c r="C185" s="145"/>
      <c r="D185" s="145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88" t="str">
        <f t="shared" si="6"/>
        <v/>
      </c>
    </row>
    <row r="186" spans="1:15" x14ac:dyDescent="0.2">
      <c r="A186" s="135"/>
      <c r="B186" s="145"/>
      <c r="C186" s="145"/>
      <c r="D186" s="145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88" t="str">
        <f t="shared" si="6"/>
        <v/>
      </c>
    </row>
    <row r="187" spans="1:15" x14ac:dyDescent="0.2">
      <c r="A187" s="135"/>
      <c r="B187" s="145"/>
      <c r="C187" s="145"/>
      <c r="D187" s="145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88" t="str">
        <f t="shared" si="6"/>
        <v/>
      </c>
    </row>
    <row r="188" spans="1:15" x14ac:dyDescent="0.2">
      <c r="A188" s="135"/>
      <c r="B188" s="145"/>
      <c r="C188" s="145"/>
      <c r="D188" s="145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88" t="str">
        <f t="shared" si="6"/>
        <v/>
      </c>
    </row>
    <row r="189" spans="1:15" x14ac:dyDescent="0.2">
      <c r="A189" s="135"/>
      <c r="B189" s="145"/>
      <c r="C189" s="145"/>
      <c r="D189" s="145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88" t="str">
        <f t="shared" si="6"/>
        <v/>
      </c>
    </row>
    <row r="190" spans="1:15" x14ac:dyDescent="0.2">
      <c r="A190" s="135"/>
      <c r="B190" s="145"/>
      <c r="C190" s="145"/>
      <c r="D190" s="145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88" t="str">
        <f t="shared" si="6"/>
        <v/>
      </c>
    </row>
    <row r="191" spans="1:15" x14ac:dyDescent="0.2">
      <c r="A191" s="135"/>
      <c r="B191" s="145"/>
      <c r="C191" s="145"/>
      <c r="D191" s="145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88" t="str">
        <f t="shared" si="6"/>
        <v/>
      </c>
    </row>
    <row r="192" spans="1:15" x14ac:dyDescent="0.2">
      <c r="A192" s="135"/>
      <c r="B192" s="145"/>
      <c r="C192" s="145"/>
      <c r="D192" s="145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88" t="str">
        <f t="shared" si="6"/>
        <v/>
      </c>
    </row>
    <row r="193" spans="1:15" x14ac:dyDescent="0.2">
      <c r="A193" s="135"/>
      <c r="B193" s="145"/>
      <c r="C193" s="145"/>
      <c r="D193" s="14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88" t="str">
        <f t="shared" si="6"/>
        <v/>
      </c>
    </row>
    <row r="194" spans="1:15" x14ac:dyDescent="0.2">
      <c r="A194" s="135"/>
      <c r="B194" s="145"/>
      <c r="C194" s="145"/>
      <c r="D194" s="145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88" t="str">
        <f t="shared" si="6"/>
        <v/>
      </c>
    </row>
    <row r="195" spans="1:15" x14ac:dyDescent="0.2">
      <c r="A195" s="135"/>
      <c r="B195" s="145"/>
      <c r="C195" s="145"/>
      <c r="D195" s="145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88" t="str">
        <f t="shared" si="6"/>
        <v/>
      </c>
    </row>
    <row r="196" spans="1:15" x14ac:dyDescent="0.2">
      <c r="A196" s="135"/>
      <c r="B196" s="145"/>
      <c r="C196" s="145"/>
      <c r="D196" s="145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88" t="str">
        <f t="shared" si="6"/>
        <v/>
      </c>
    </row>
    <row r="197" spans="1:15" x14ac:dyDescent="0.2">
      <c r="A197" s="135"/>
      <c r="B197" s="145"/>
      <c r="C197" s="145"/>
      <c r="D197" s="145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88" t="str">
        <f t="shared" si="6"/>
        <v/>
      </c>
    </row>
    <row r="198" spans="1:15" x14ac:dyDescent="0.2">
      <c r="A198" s="135"/>
      <c r="B198" s="145"/>
      <c r="C198" s="145"/>
      <c r="D198" s="145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88" t="str">
        <f t="shared" si="6"/>
        <v/>
      </c>
    </row>
    <row r="199" spans="1:15" x14ac:dyDescent="0.2">
      <c r="A199" s="135"/>
      <c r="B199" s="145"/>
      <c r="C199" s="145"/>
      <c r="D199" s="145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88" t="str">
        <f t="shared" si="6"/>
        <v/>
      </c>
    </row>
    <row r="200" spans="1:15" x14ac:dyDescent="0.2">
      <c r="A200" s="135"/>
      <c r="B200" s="145"/>
      <c r="C200" s="145"/>
      <c r="D200" s="145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88" t="str">
        <f t="shared" si="6"/>
        <v/>
      </c>
    </row>
    <row r="201" spans="1:15" x14ac:dyDescent="0.2">
      <c r="A201" s="135"/>
      <c r="B201" s="145"/>
      <c r="C201" s="145"/>
      <c r="D201" s="145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88" t="str">
        <f t="shared" si="6"/>
        <v/>
      </c>
    </row>
    <row r="202" spans="1:15" x14ac:dyDescent="0.2">
      <c r="A202" s="135"/>
      <c r="B202" s="145"/>
      <c r="C202" s="145"/>
      <c r="D202" s="145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88" t="str">
        <f t="shared" si="6"/>
        <v/>
      </c>
    </row>
  </sheetData>
  <autoFilter ref="A7:O7" xr:uid="{00000000-0009-0000-0000-000001000000}"/>
  <sortState xmlns:xlrd2="http://schemas.microsoft.com/office/spreadsheetml/2017/richdata2" ref="A9:O138">
    <sortCondition ref="A8"/>
  </sortState>
  <mergeCells count="2">
    <mergeCell ref="A1:F1"/>
    <mergeCell ref="E3:N3"/>
  </mergeCells>
  <conditionalFormatting sqref="E8:N18">
    <cfRule type="expression" dxfId="25" priority="26">
      <formula>AND(E8&lt;=E$5,E8&gt;=E$6)</formula>
    </cfRule>
  </conditionalFormatting>
  <conditionalFormatting sqref="B8:D18">
    <cfRule type="expression" dxfId="24" priority="25">
      <formula>B8=B$5</formula>
    </cfRule>
  </conditionalFormatting>
  <conditionalFormatting sqref="E19:N20">
    <cfRule type="expression" dxfId="23" priority="24">
      <formula>AND(E19&lt;=E$5,E19&gt;=E$6)</formula>
    </cfRule>
  </conditionalFormatting>
  <conditionalFormatting sqref="B19:C20">
    <cfRule type="expression" dxfId="22" priority="23">
      <formula>B19=B$5</formula>
    </cfRule>
  </conditionalFormatting>
  <conditionalFormatting sqref="D19:D20">
    <cfRule type="expression" dxfId="21" priority="22">
      <formula>D19=D$5</formula>
    </cfRule>
  </conditionalFormatting>
  <conditionalFormatting sqref="E21:N28">
    <cfRule type="expression" dxfId="20" priority="21">
      <formula>AND(E21&lt;=E$5,E21&gt;=E$6)</formula>
    </cfRule>
  </conditionalFormatting>
  <conditionalFormatting sqref="B21:D28">
    <cfRule type="expression" dxfId="19" priority="20">
      <formula>B21=B$5</formula>
    </cfRule>
  </conditionalFormatting>
  <conditionalFormatting sqref="A8:A28">
    <cfRule type="expression" dxfId="18" priority="19">
      <formula>AND(B8=B$5,C8=C$5,D8=D$5,AND(E8&lt;=E$5,E8&gt;=E$6),AND(F8&lt;=F$5,F8&gt;=F$6),AND(G8&lt;=G$5,G8&gt;=G$6),AND(H8&lt;=H$5,H8&gt;=H$6),AND(I8&lt;=I$5,I8&gt;=I$6),AND(J8&lt;=J$5,J8&gt;=J$6),AND(K8&lt;=K$5,K8&gt;=K$6),AND(L8&lt;=L$5,L8&gt;=L$6),AND(M8&lt;=M$5,M8&gt;=M$6),AND(N8&lt;=N$5,N8&gt;=N$6))</formula>
    </cfRule>
  </conditionalFormatting>
  <conditionalFormatting sqref="E29:N138">
    <cfRule type="expression" dxfId="17" priority="18">
      <formula>AND(E29&lt;=E$5,E29&gt;=E$6)</formula>
    </cfRule>
  </conditionalFormatting>
  <conditionalFormatting sqref="B29:D138">
    <cfRule type="expression" dxfId="16" priority="17">
      <formula>B29=B$5</formula>
    </cfRule>
  </conditionalFormatting>
  <conditionalFormatting sqref="A29:A138">
    <cfRule type="expression" dxfId="15" priority="16">
      <formula>AND(B29=B$5,C29=C$5,D29=D$5,AND(E29&lt;=E$5,E29&gt;=E$6),AND(F29&lt;=F$5,F29&gt;=F$6),AND(G29&lt;=G$5,G29&gt;=G$6),AND(H29&lt;=H$5,H29&gt;=H$6),AND(I29&lt;=I$5,I29&gt;=I$6),AND(J29&lt;=J$5,J29&gt;=J$6),AND(K29&lt;=K$5,K29&gt;=K$6),AND(L29&lt;=L$5,L29&gt;=L$6),AND(M29&lt;=M$5,M29&gt;=M$6),AND(N29&lt;=N$5,N29&gt;=N$6))</formula>
    </cfRule>
  </conditionalFormatting>
  <conditionalFormatting sqref="E139:N144">
    <cfRule type="expression" dxfId="14" priority="15">
      <formula>AND(E139&lt;=E$5,E139&gt;=E$6)</formula>
    </cfRule>
  </conditionalFormatting>
  <conditionalFormatting sqref="B139:D144">
    <cfRule type="expression" dxfId="13" priority="14">
      <formula>B139=B$5</formula>
    </cfRule>
  </conditionalFormatting>
  <conditionalFormatting sqref="A139:A144">
    <cfRule type="expression" dxfId="12" priority="13">
      <formula>AND(B139=B$5,C139=C$5,D139=D$5,AND(E139&lt;=E$5,E139&gt;=E$6),AND(F139&lt;=F$5,F139&gt;=F$6),AND(G139&lt;=G$5,G139&gt;=G$6),AND(H139&lt;=H$5,H139&gt;=H$6),AND(I139&lt;=I$5,I139&gt;=I$6),AND(J139&lt;=J$5,J139&gt;=J$6),AND(K139&lt;=K$5,K139&gt;=K$6),AND(L139&lt;=L$5,L139&gt;=L$6),AND(M139&lt;=M$5,M139&gt;=M$6),AND(N139&lt;=N$5,N139&gt;=N$6))</formula>
    </cfRule>
  </conditionalFormatting>
  <conditionalFormatting sqref="E145:N146 E149:N202">
    <cfRule type="expression" dxfId="11" priority="12">
      <formula>AND(E145&lt;=E$5,E145&gt;=E$6)</formula>
    </cfRule>
  </conditionalFormatting>
  <conditionalFormatting sqref="B145:D146 B155:D202 C149:D154">
    <cfRule type="expression" dxfId="10" priority="11">
      <formula>B145=B$5</formula>
    </cfRule>
  </conditionalFormatting>
  <conditionalFormatting sqref="A145:A146 A149:A202">
    <cfRule type="expression" dxfId="9" priority="10">
      <formula>AND(B145=B$5,C145=C$5,D145=D$5,AND(E145&lt;=E$5,E145&gt;=E$6),AND(F145&lt;=F$5,F145&gt;=F$6),AND(G145&lt;=G$5,G145&gt;=G$6),AND(H145&lt;=H$5,H145&gt;=H$6),AND(I145&lt;=I$5,I145&gt;=I$6),AND(J145&lt;=J$5,J145&gt;=J$6),AND(K145&lt;=K$5,K145&gt;=K$6),AND(L145&lt;=L$5,L145&gt;=L$6),AND(M145&lt;=M$5,M145&gt;=M$6),AND(N145&lt;=N$5,N145&gt;=N$6))</formula>
    </cfRule>
  </conditionalFormatting>
  <conditionalFormatting sqref="E147:N148">
    <cfRule type="expression" dxfId="8" priority="9">
      <formula>AND(E147&lt;=E$5,E147&gt;=E$6)</formula>
    </cfRule>
  </conditionalFormatting>
  <conditionalFormatting sqref="B147:D148">
    <cfRule type="expression" dxfId="7" priority="8">
      <formula>B147=B$5</formula>
    </cfRule>
  </conditionalFormatting>
  <conditionalFormatting sqref="A147:A148">
    <cfRule type="expression" dxfId="6" priority="7">
      <formula>AND(B147=B$5,C147=C$5,D147=D$5,AND(E147&lt;=E$5,E147&gt;=E$6),AND(F147&lt;=F$5,F147&gt;=F$6),AND(G147&lt;=G$5,G147&gt;=G$6),AND(H147&lt;=H$5,H147&gt;=H$6),AND(I147&lt;=I$5,I147&gt;=I$6),AND(J147&lt;=J$5,J147&gt;=J$6),AND(K147&lt;=K$5,K147&gt;=K$6),AND(L147&lt;=L$5,L147&gt;=L$6),AND(M147&lt;=M$5,M147&gt;=M$6),AND(N147&lt;=N$5,N147&gt;=N$6))</formula>
    </cfRule>
  </conditionalFormatting>
  <conditionalFormatting sqref="B149">
    <cfRule type="expression" dxfId="5" priority="6">
      <formula>B149=B$5</formula>
    </cfRule>
  </conditionalFormatting>
  <conditionalFormatting sqref="B150">
    <cfRule type="expression" dxfId="4" priority="5">
      <formula>B150=B$5</formula>
    </cfRule>
  </conditionalFormatting>
  <conditionalFormatting sqref="B151">
    <cfRule type="expression" dxfId="3" priority="4">
      <formula>B151=B$5</formula>
    </cfRule>
  </conditionalFormatting>
  <conditionalFormatting sqref="B152">
    <cfRule type="expression" dxfId="2" priority="3">
      <formula>B152=B$5</formula>
    </cfRule>
  </conditionalFormatting>
  <conditionalFormatting sqref="B153">
    <cfRule type="expression" dxfId="1" priority="2">
      <formula>B153=B$5</formula>
    </cfRule>
  </conditionalFormatting>
  <conditionalFormatting sqref="B154">
    <cfRule type="expression" dxfId="0" priority="1">
      <formula>B154=B$5</formula>
    </cfRule>
  </conditionalFormatting>
  <pageMargins left="0.70866141732283472" right="0.70866141732283472" top="0.78740157480314965" bottom="0.78740157480314965" header="0.31496062992125984" footer="0.31496062992125984"/>
  <pageSetup paperSize="9" scale="46" fitToHeight="0" orientation="portrait" r:id="rId1"/>
  <headerFooter>
    <oddFooter>&amp;LSBB AG, I-AT-FW-FBA&amp;C&amp;F, 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967455e-364c-4439-996a-48e246731e1a">T0548-1534080313-152175</_dlc_DocId>
    <_dlc_DocIdUrl xmlns="b967455e-364c-4439-996a-48e246731e1a">
      <Url>https://sbb.sharepoint.com/sites/anlagenmanagement-fahrbahn/_layouts/15/DocIdRedir.aspx?ID=T0548-1534080313-152175</Url>
      <Description>T0548-1534080313-152175</Description>
    </_dlc_DocIdUrl>
    <lcf76f155ced4ddcb4097134ff3c332f xmlns="248f7281-53a5-4bbb-b521-ff8090d08838">
      <Terms xmlns="http://schemas.microsoft.com/office/infopath/2007/PartnerControls"/>
    </lcf76f155ced4ddcb4097134ff3c332f>
    <TaxCatchAll xmlns="b967455e-364c-4439-996a-48e246731e1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97AD6B7466414E9200E733DEDAF503" ma:contentTypeVersion="34" ma:contentTypeDescription="Ein neues Dokument erstellen." ma:contentTypeScope="" ma:versionID="c9deb07e0e839ca61eaede7ecb9ccede">
  <xsd:schema xmlns:xsd="http://www.w3.org/2001/XMLSchema" xmlns:xs="http://www.w3.org/2001/XMLSchema" xmlns:p="http://schemas.microsoft.com/office/2006/metadata/properties" xmlns:ns2="b967455e-364c-4439-996a-48e246731e1a" xmlns:ns3="248f7281-53a5-4bbb-b521-ff8090d08838" targetNamespace="http://schemas.microsoft.com/office/2006/metadata/properties" ma:root="true" ma:fieldsID="000d4352d0b88df17e3198f96900f593" ns2:_="" ns3:_="">
    <xsd:import namespace="b967455e-364c-4439-996a-48e246731e1a"/>
    <xsd:import namespace="248f7281-53a5-4bbb-b521-ff8090d0883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7455e-364c-4439-996a-48e246731e1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a6cf3f27-178d-4e88-8e2b-1fda522a5363}" ma:internalName="TaxCatchAll" ma:showField="CatchAllData" ma:web="b967455e-364c-4439-996a-48e246731e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f7281-53a5-4bbb-b521-ff8090d088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2e7e7b05-955d-4ec1-8c45-691041b8b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D9606D-B6BD-4205-AD0E-C1E72F1E186C}">
  <ds:schemaRefs>
    <ds:schemaRef ds:uri="http://schemas.microsoft.com/office/2006/metadata/properties"/>
    <ds:schemaRef ds:uri="http://schemas.microsoft.com/office/infopath/2007/PartnerControls"/>
    <ds:schemaRef ds:uri="b967455e-364c-4439-996a-48e246731e1a"/>
    <ds:schemaRef ds:uri="248f7281-53a5-4bbb-b521-ff8090d08838"/>
  </ds:schemaRefs>
</ds:datastoreItem>
</file>

<file path=customXml/itemProps2.xml><?xml version="1.0" encoding="utf-8"?>
<ds:datastoreItem xmlns:ds="http://schemas.openxmlformats.org/officeDocument/2006/customXml" ds:itemID="{FC0BEC96-3DB3-4D98-9358-E9AA7369E8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191C2E-B0F2-43C5-83A6-2B1C6BB82FB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12247C3-308C-4920-9195-B791E7F99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67455e-364c-4439-996a-48e246731e1a"/>
    <ds:schemaRef ds:uri="248f7281-53a5-4bbb-b521-ff8090d08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Calculation</vt:lpstr>
      <vt:lpstr>Check</vt:lpstr>
      <vt:lpstr>Calculation!Druckbereich</vt:lpstr>
      <vt:lpstr>Calculation!Drucktitel</vt:lpstr>
      <vt:lpstr>Check!Drucktitel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Kossmann Claudia (I-AT-FB-AMM)</dc:creator>
  <cp:lastModifiedBy>Kossmann Claudia (I-NAT-FW-SAFB)</cp:lastModifiedBy>
  <cp:lastPrinted>2016-04-07T14:53:14Z</cp:lastPrinted>
  <dcterms:created xsi:type="dcterms:W3CDTF">2015-09-03T13:34:55Z</dcterms:created>
  <dcterms:modified xsi:type="dcterms:W3CDTF">2023-06-20T13:29:25Z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-1224617182</vt:i4>
  </property>
  <property fmtid="{D5CDD505-2E9C-101B-9397-08002B2CF9AE}" pid="3" name="_NewReviewCycle">
    <vt:lpwstr/>
  </property>
  <property fmtid="{D5CDD505-2E9C-101B-9397-08002B2CF9AE}" pid="4" name="_EmailSubject">
    <vt:lpwstr>Berechnungsblatt</vt:lpwstr>
  </property>
  <property fmtid="{D5CDD505-2E9C-101B-9397-08002B2CF9AE}" pid="5" name="_AuthorEmail">
    <vt:lpwstr>ingolf.nerlich@sbb.ch</vt:lpwstr>
  </property>
  <property fmtid="{D5CDD505-2E9C-101B-9397-08002B2CF9AE}" pid="6" name="_AuthorEmailDisplayName">
    <vt:lpwstr>Nerlich Ingolf (I-AT-FB-AMM)</vt:lpwstr>
  </property>
  <property fmtid="{D5CDD505-2E9C-101B-9397-08002B2CF9AE}" pid="7" name="_PreviousAdHocReviewCycleID">
    <vt:i4>42673963</vt:i4>
  </property>
  <property fmtid="{D5CDD505-2E9C-101B-9397-08002B2CF9AE}" pid="8" name="_ReviewingToolsShownOnce">
    <vt:lpwstr/>
  </property>
  <property fmtid="{D5CDD505-2E9C-101B-9397-08002B2CF9AE}" pid="9" name="ContentTypeId">
    <vt:lpwstr>0x0101001A97AD6B7466414E9200E733DEDAF503</vt:lpwstr>
  </property>
  <property fmtid="{D5CDD505-2E9C-101B-9397-08002B2CF9AE}" pid="10" name="_dlc_DocIdItemGuid">
    <vt:lpwstr>b07eecb0-d0a0-4e3d-8c44-2263b595169a</vt:lpwstr>
  </property>
  <property fmtid="{D5CDD505-2E9C-101B-9397-08002B2CF9AE}" pid="11" name="MediaServiceImageTags">
    <vt:lpwstr/>
  </property>
</Properties>
</file>